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408" windowWidth="6168" windowHeight="6756" tabRatio="601" firstSheet="5" activeTab="8"/>
  </bookViews>
  <sheets>
    <sheet name="Прил.1 Поступление доходов 2015" sheetId="1" r:id="rId1"/>
    <sheet name="Прил.2 Доходы 2015" sheetId="2" r:id="rId2"/>
    <sheet name="Прил.3 Функциональная 2015" sheetId="3" r:id="rId3"/>
    <sheet name="Прил.4 Ведомственная 2015" sheetId="4" r:id="rId4"/>
    <sheet name="Прил.5 Источники_2015" sheetId="5" r:id="rId5"/>
    <sheet name="Прил.6 Источники 2015" sheetId="6" r:id="rId6"/>
    <sheet name="Прил.7 Прог мун заимствован2015" sheetId="7" r:id="rId7"/>
    <sheet name="Прил. 8 Мун.долг 2015" sheetId="8" r:id="rId8"/>
    <sheet name="Прил.8-3" sheetId="9" r:id="rId9"/>
    <sheet name="Прил.9 Резервный фонд" sheetId="10" r:id="rId10"/>
  </sheets>
  <externalReferences>
    <externalReference r:id="rId13"/>
  </externalReferences>
  <definedNames>
    <definedName name="_xlnm.Print_Area" localSheetId="7">'Прил. 8 Мун.долг 2015'!$A$1:$R$25</definedName>
    <definedName name="_xlnm.Print_Area" localSheetId="0">'Прил.1 Поступление доходов 2015'!$A$1:$G$246</definedName>
    <definedName name="_xlnm.Print_Area" localSheetId="2">'Прил.3 Функциональная 2015'!$A$1:$J$1020</definedName>
    <definedName name="_xlnm.Print_Area" localSheetId="3">'Прил.4 Ведомственная 2015'!$A$1:$M$1038</definedName>
    <definedName name="_xlnm.Print_Area" localSheetId="4">'Прил.5 Источники_2015'!$A$1:$E$92</definedName>
    <definedName name="_xlnm.Print_Area" localSheetId="6">'Прил.7 Прог мун заимствован2015'!$A$1:$E$24</definedName>
  </definedNames>
  <calcPr fullCalcOnLoad="1"/>
</workbook>
</file>

<file path=xl/comments1.xml><?xml version="1.0" encoding="utf-8"?>
<comments xmlns="http://schemas.openxmlformats.org/spreadsheetml/2006/main">
  <authors>
    <author>Голикова С.Б.</author>
  </authors>
  <commentList>
    <comment ref="B161" authorId="0">
      <text>
        <r>
          <rPr>
            <b/>
            <sz val="9"/>
            <rFont val="Tahoma"/>
            <family val="2"/>
          </rPr>
          <t>Голикова С.Б.: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Nikolaeva</author>
    <author>Bayrakov</author>
  </authors>
  <commentList>
    <comment ref="G364" authorId="0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ВКД-10120; ливневка 3000
</t>
        </r>
      </text>
    </comment>
    <comment ref="G747" authorId="1">
      <text>
        <r>
          <rPr>
            <b/>
            <sz val="8"/>
            <rFont val="Tahoma"/>
            <family val="2"/>
          </rPr>
          <t>Содержание памятников</t>
        </r>
      </text>
    </comment>
    <comment ref="F364" authorId="0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ВКД-10120; ливневка 3000
</t>
        </r>
      </text>
    </comment>
    <comment ref="F747" authorId="1">
      <text>
        <r>
          <rPr>
            <b/>
            <sz val="8"/>
            <rFont val="Tahoma"/>
            <family val="2"/>
          </rPr>
          <t>Содержание памятников</t>
        </r>
      </text>
    </comment>
    <comment ref="H364" authorId="0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ВКД-10120; ливневка 3000
</t>
        </r>
      </text>
    </comment>
    <comment ref="H747" authorId="1">
      <text>
        <r>
          <rPr>
            <b/>
            <sz val="8"/>
            <rFont val="Tahoma"/>
            <family val="2"/>
          </rPr>
          <t>Содержание памятников</t>
        </r>
      </text>
    </comment>
  </commentList>
</comments>
</file>

<file path=xl/comments4.xml><?xml version="1.0" encoding="utf-8"?>
<comments xmlns="http://schemas.openxmlformats.org/spreadsheetml/2006/main">
  <authors>
    <author>Bayrakov</author>
    <author>Nikolaeva</author>
  </authors>
  <commentList>
    <comment ref="H332" authorId="0">
      <text>
        <r>
          <rPr>
            <b/>
            <sz val="8"/>
            <rFont val="Tahoma"/>
            <family val="2"/>
          </rPr>
          <t>Содержание памятников</t>
        </r>
      </text>
    </comment>
    <comment ref="H708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ВКД-10120; ливневка 3000
</t>
        </r>
      </text>
    </comment>
    <comment ref="G332" authorId="0">
      <text>
        <r>
          <rPr>
            <b/>
            <sz val="8"/>
            <rFont val="Tahoma"/>
            <family val="2"/>
          </rPr>
          <t>Содержание памятников</t>
        </r>
      </text>
    </comment>
    <comment ref="G708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ВКД-10120; ливневка 3000
</t>
        </r>
      </text>
    </comment>
    <comment ref="K332" authorId="0">
      <text>
        <r>
          <rPr>
            <b/>
            <sz val="8"/>
            <rFont val="Tahoma"/>
            <family val="2"/>
          </rPr>
          <t>Содержание памятников</t>
        </r>
      </text>
    </comment>
    <comment ref="K708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ВКД-10120; ливневка 3000
</t>
        </r>
      </text>
    </comment>
  </commentList>
</comments>
</file>

<file path=xl/comments5.xml><?xml version="1.0" encoding="utf-8"?>
<comments xmlns="http://schemas.openxmlformats.org/spreadsheetml/2006/main">
  <authors>
    <author>Nikolaeva</author>
  </authors>
  <commentList>
    <comment ref="D40" authorId="0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Статья 38</t>
        </r>
      </text>
    </comment>
    <comment ref="E40" authorId="0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Статья 38</t>
        </r>
      </text>
    </comment>
    <comment ref="C40" authorId="0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Статья 38</t>
        </r>
      </text>
    </comment>
  </commentList>
</comments>
</file>

<file path=xl/comments7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2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2"/>
          </rPr>
          <t>Aglicheva:</t>
        </r>
        <r>
          <rPr>
            <sz val="8"/>
            <rFont val="Tahoma"/>
            <family val="2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<sst xmlns="http://schemas.openxmlformats.org/spreadsheetml/2006/main" count="11921" uniqueCount="1739">
  <si>
    <t>Увеличение остатков средств финансовых резервов бюджетов, размещенных в ценные бумаги</t>
  </si>
  <si>
    <t>017 01 05 01 02 04 0000 520</t>
  </si>
  <si>
    <t>460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</si>
  <si>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</si>
  <si>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</si>
  <si>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</si>
  <si>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</si>
  <si>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</si>
  <si>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</si>
  <si>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</si>
  <si>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</si>
  <si>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</si>
  <si>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Минимальный налог, зачисляемый в бюджеты субъектов Российской Федерации</t>
  </si>
  <si>
    <t>Выплата единовременной материальной помощи воинам-афганцам, семьям погибших участников Афганских событий и локальных войн*</t>
  </si>
  <si>
    <t>01 0 0000</t>
  </si>
  <si>
    <t>1 05 01012 01 0000 110</t>
  </si>
  <si>
    <t>1 05 01020 01 0000 110</t>
  </si>
  <si>
    <t>1 05 01021 01 0000 110</t>
  </si>
  <si>
    <t xml:space="preserve">Субсидии бюджетным учреждениям, в том числе: </t>
  </si>
  <si>
    <t>Изменение остатков средств на счетах по учету средств бюджета</t>
  </si>
  <si>
    <t>000 01 05 02 00 00 0000 500</t>
  </si>
  <si>
    <t>Целевая субсидия на  оплату услуг по доставке льготных подписных тиражей газеты "Призыв"</t>
  </si>
  <si>
    <t>Выплата единовременной материальной помощи малоимущим гражданам*</t>
  </si>
  <si>
    <t>1 05 02000 02 0000 110</t>
  </si>
  <si>
    <t>Государственная пошлина за выдачу разрешения на установку рекламной конструкции</t>
  </si>
  <si>
    <t>Предоставление субсидий молодым семьям для приобретения жилья</t>
  </si>
  <si>
    <t>Предоставление жилья отдельным категориям граждан</t>
  </si>
  <si>
    <t>Обеспечение жильем отдельных категорий граждан, установленных ФЗ от 12.01.1995 №5-ФЗ "О ветеранах" и ФЗ от 24.11.1995 №181-ФЗ "О социальной защите инвалидов в Российской Федерации"</t>
  </si>
  <si>
    <t>Улучшение жилищных условий семей, имеющих семь и более детей</t>
  </si>
  <si>
    <t>Частичная компенсация денежных затрат многодетных семей на приобретение комплекта школьной одежды (формы) для посещения учебных занятий на весь период обучения в муниципальных общеобразовательных учреждениях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</si>
  <si>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</si>
  <si>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1 09 04052 04 0000 110</t>
  </si>
  <si>
    <t>1 09 07012 04 0000 110</t>
  </si>
  <si>
    <t>1 09 07032 04 0000 110</t>
  </si>
  <si>
    <t>1 09 07052 04 0000 110</t>
  </si>
  <si>
    <t xml:space="preserve">Прочие межбюджетные трансферты общего характера </t>
  </si>
  <si>
    <t xml:space="preserve">КУЛЬТУРА, КИНЕМАТОГРАФИЯ </t>
  </si>
  <si>
    <t>1 14 01000 00 0000 410</t>
  </si>
  <si>
    <t>1 12 01000 01 0000 120</t>
  </si>
  <si>
    <t>09 2 2005</t>
  </si>
  <si>
    <t>Муниципальная программа "Экология и окружающая среда городского округа Домодедово на 2015-2019 годы"</t>
  </si>
  <si>
    <t>Подпрограмма " Охрана окружающей среды городского округа Домодедово на 2015-2019 годы"</t>
  </si>
  <si>
    <t>06 1 0000</t>
  </si>
  <si>
    <t>06 1 2410</t>
  </si>
  <si>
    <t>06 1 2005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</si>
  <si>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</si>
  <si>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2 07 04050 04 0000 180</t>
  </si>
  <si>
    <t>Целевая субсидия на монтаж видеонаблюдения в муниципальных дошкольных образовательных учреждениях</t>
  </si>
  <si>
    <t>Целевая субсидия на приобретение учебников и учебных пособий, средств обучения, игр, игрушек</t>
  </si>
  <si>
    <t>Целевая субсидия на ремонт спортивного зала в МБОУ Лобановская ООШ</t>
  </si>
  <si>
    <t>Целевая субсидия на монтаж видеонаблюдения в муниципальных общеобразовательных учреждениях</t>
  </si>
  <si>
    <t>Целевая субсидия на приобретение автомобиля для организации и проведения культурно-массовых мероприятий</t>
  </si>
  <si>
    <t>Целевая субсидия МБУ "ЦОУ" на приобретение основных средств</t>
  </si>
  <si>
    <t>Субсидия на оплату услуг по капитальному ремонту жилого фонда льготным категориям граждан*</t>
  </si>
  <si>
    <t>03 1 2620</t>
  </si>
  <si>
    <t>08 5 6019</t>
  </si>
  <si>
    <t>Целевая субсидия на приобретение материалов для замены аварийной электропроводки в МБУ "ЦФКС "Горизонт"</t>
  </si>
  <si>
    <t>05 5 6019</t>
  </si>
  <si>
    <t>1 16 03010 01 0000 140</t>
  </si>
  <si>
    <t>2 02 02051 04 0000 151</t>
  </si>
  <si>
    <t>2 02 03024 04 0000 151</t>
  </si>
  <si>
    <t>1 14 06000 00 0000 430</t>
  </si>
  <si>
    <t>1 14 06010 00 0000 430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</si>
  <si>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</si>
  <si>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</si>
  <si>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1 05 02020 02 0000 110</t>
  </si>
  <si>
    <t xml:space="preserve">городского округа Домодедово и непрограммным направлениям деятельности), </t>
  </si>
  <si>
    <t>группам и подгруппам видов расходов классификации расходов бюджетов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</si>
  <si>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</si>
  <si>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2 07 04000 04 0000 180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</si>
  <si>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</si>
  <si>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</si>
  <si>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</si>
  <si>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</si>
  <si>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Телевидение и радиовещание</t>
  </si>
  <si>
    <t>Периодическая печать и издательства</t>
  </si>
  <si>
    <t>2 02 03021 04 0000 151</t>
  </si>
  <si>
    <t>Увеличение прочих источников финансирования дефицитов бюджетов за счет иных финансовых активов</t>
  </si>
  <si>
    <t>2 02 03007 00 0000 151</t>
  </si>
  <si>
    <t xml:space="preserve">Налог, взимаемый в связи с применением упрощенной системы налогообложения </t>
  </si>
  <si>
    <t>1 05 01000 00 0000 110</t>
  </si>
  <si>
    <t>13 4 0000</t>
  </si>
  <si>
    <t>13 4 2520</t>
  </si>
  <si>
    <t>Подпрограмма "Обеспечение доступности услуг пассажирского транспорта на территории городского округа Домодедово на 2014-2018 годы"</t>
  </si>
  <si>
    <t>Подпрограмма "Развитие потребительского рынка и услуг на территории городского округа Домодедово на 2015-2018 годы"</t>
  </si>
  <si>
    <t>10 5 2303</t>
  </si>
  <si>
    <t>10 5 6110</t>
  </si>
  <si>
    <t>Подпрограмма "Обеспечение безопасности дорожного движения на территории городского округа Домодедово на 2014-2018 годы"</t>
  </si>
  <si>
    <t xml:space="preserve">Приложение №  6   </t>
  </si>
  <si>
    <t>02 4 6224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</si>
  <si>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</si>
  <si>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</si>
  <si>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</si>
  <si>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НАЛОГИ НА ТОВАРЫ (РАБОТЫ, УСЛУГИ), РЕАЛИЗУЕМЫЕ НА ТЕРРИТОРИИ РОССИЙСКОЙ ФЕДЕРАЦИИ</t>
  </si>
  <si>
    <t>1 03 00000 00 0000 000</t>
  </si>
  <si>
    <t>1 03 02230 01 0000 110</t>
  </si>
  <si>
    <t>1 03 02240 01 0000 110</t>
  </si>
  <si>
    <t>1 03 02250 01 0000 110</t>
  </si>
  <si>
    <t>1 03 02260 01 0000 110</t>
  </si>
  <si>
    <t>1 01 02020 01 0000 110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</si>
  <si>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судебно-медицинской экспертизы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</si>
  <si>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</si>
  <si>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</si>
  <si>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</si>
  <si>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 xml:space="preserve"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пункты. Отдельные мероприятия в области автомобильного транспорта </t>
  </si>
  <si>
    <t>Расходы на выплаты персоналу казенных учреждений</t>
  </si>
  <si>
    <t>110</t>
  </si>
  <si>
    <t>400</t>
  </si>
  <si>
    <t>700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</si>
  <si>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</si>
  <si>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НАЛОГИ НА СОВОКУПНЫЙ ДОХОД</t>
  </si>
  <si>
    <t>1 05 00000 00 0000 000</t>
  </si>
  <si>
    <t>Выплата единовременной материальной помощи участникам обороны Москвы (включая вдов)*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</si>
  <si>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</si>
  <si>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</si>
  <si>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от                         №   </t>
  </si>
  <si>
    <t>Наименование расхода</t>
  </si>
  <si>
    <t>в том числе:</t>
  </si>
  <si>
    <t>2 02 04012 04 0000 151</t>
  </si>
  <si>
    <t>Финансовое управление Администрации городского округа Домодедово Московской области</t>
  </si>
  <si>
    <t>2 02 02077 04 0000 151</t>
  </si>
  <si>
    <t>1 11 09000 00 0000 120</t>
  </si>
  <si>
    <t>000 01 05 02 01 00 0000 610</t>
  </si>
  <si>
    <t>11 0 0000</t>
  </si>
  <si>
    <t>Субсидии некоммерческим организациям (за исключением государственных (муниципальных) учреждений)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</si>
  <si>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</si>
  <si>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</si>
  <si>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</si>
  <si>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10 1 2507</t>
  </si>
  <si>
    <t>10 1 2508</t>
  </si>
  <si>
    <t>09 3 2514</t>
  </si>
  <si>
    <t>09 3 2517</t>
  </si>
  <si>
    <t>11 Г 2350</t>
  </si>
  <si>
    <t>Взнос в уставной фонд муниципальных унитарных предприятий</t>
  </si>
  <si>
    <t>Прочие мероприятия по благоустройству и озеленению мест общего пользования</t>
  </si>
  <si>
    <t>017 01 06 05 01 04 0000 540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</si>
  <si>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</si>
  <si>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</si>
  <si>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1 09 07000 00 0000 110</t>
  </si>
  <si>
    <t>Налог на рекламу</t>
  </si>
  <si>
    <t>1 09 07010 00 0000 110</t>
  </si>
  <si>
    <t>Предоставление  бюджетных кредитов  внутри страны в валюте Российской Федерации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</si>
  <si>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</si>
  <si>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</si>
  <si>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</si>
  <si>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</si>
  <si>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</si>
  <si>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Подпрограмма "Обеспечение деятельности Комитета по культуре, делам молодежи и спорту Администрации городского округа Домодедово и подведомственных ему учреждений на 2014-2018 годы"</t>
  </si>
  <si>
    <t>Подпрограмма "Развитие физической культуры и спорта в городском округе Домодедово на 2014-2018 годы"</t>
  </si>
  <si>
    <t>Подпрограмма "Обеспечение безопасности гидротехнических сооружений городского округа Домодедово на 2015-2019 годы"</t>
  </si>
  <si>
    <t>06 2 2410</t>
  </si>
  <si>
    <t>Профессиональная подготовка, переподготовка и повышение квалификации</t>
  </si>
  <si>
    <t>Другие вопросы в области культуры,  кинематографии</t>
  </si>
  <si>
    <t>Прочие неналоговые доходы</t>
  </si>
  <si>
    <t>1 17 05000 00 0000 180</t>
  </si>
  <si>
    <t>Прочие субвенции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</si>
  <si>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</si>
  <si>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</si>
  <si>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</si>
  <si>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</si>
  <si>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</si>
  <si>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Оказание материальной помощи Куманейкину Виктору Михайловичу, пострадавшему в результате пожара по адресу: г. Домодедово, с. Красный Путь, ул. Речная, д. 4</t>
  </si>
  <si>
    <t>032</t>
  </si>
  <si>
    <t>04.03.</t>
  </si>
  <si>
    <t>27.02.</t>
  </si>
  <si>
    <t>Оказание материальной помощи Скобелеву Анатолию Валерьевичу, пострадавшему в результате пожара по адресу: г. Домодедово, ул. Рабочая, д. 3, кв. 36</t>
  </si>
  <si>
    <t>033</t>
  </si>
  <si>
    <t>10.03.</t>
  </si>
  <si>
    <t>03.03.</t>
  </si>
  <si>
    <t>из них причитается к погашению в 2015г.</t>
  </si>
  <si>
    <t>фактически погашено в 2015 году</t>
  </si>
  <si>
    <t>Долг по состоянию на 01.01.16</t>
  </si>
  <si>
    <t>3. Другие долговые обязательства, гарантированные муниципальным образованием</t>
  </si>
  <si>
    <t>Процентная ставка в %</t>
  </si>
  <si>
    <t>Муниципальная гарантия МУП "Теплосеть" на оплату энергоносителей</t>
  </si>
  <si>
    <t>№3-40/191 от
22.08.2013</t>
  </si>
  <si>
    <t>31.08.15</t>
  </si>
  <si>
    <t>№3-40/263 от
20.12.2013</t>
  </si>
  <si>
    <t>20.12.15</t>
  </si>
  <si>
    <t>Муниципальная гарантия МУП "Домодедовский водоканал" на пополнение оборотных средств</t>
  </si>
  <si>
    <t>№3-40/1 от
15.01.2014</t>
  </si>
  <si>
    <t>16.02.16</t>
  </si>
  <si>
    <t>№3-40/11 от
01.04.2014</t>
  </si>
  <si>
    <t>31.03.16</t>
  </si>
  <si>
    <t>№3-40/16 от
15.05.2014</t>
  </si>
  <si>
    <t>15.05.15</t>
  </si>
  <si>
    <t>Муниципальная гарантия МУП "Электросеть" на капитальный ремонт объектов материально-технической базы</t>
  </si>
  <si>
    <t>№3-40/39 от
26.06.2014</t>
  </si>
  <si>
    <t>26.06.15</t>
  </si>
  <si>
    <t>№3-40/49 от
29.06.2015</t>
  </si>
  <si>
    <t>29.06.17</t>
  </si>
  <si>
    <t>№3-40/58 от
20.08.2015</t>
  </si>
  <si>
    <t>18.08.17</t>
  </si>
  <si>
    <t>№3-40/186 от
21.12.2015</t>
  </si>
  <si>
    <t>21.12.17</t>
  </si>
  <si>
    <r>
      <t>Приложение №</t>
    </r>
    <r>
      <rPr>
        <sz val="10"/>
        <rFont val="Times New Roman Cyr"/>
        <family val="0"/>
      </rPr>
      <t xml:space="preserve">   1   </t>
    </r>
  </si>
  <si>
    <t>от      № 1-4/</t>
  </si>
  <si>
    <t>ПОСТУПЛЕНИЕ ДОХОДОВ</t>
  </si>
  <si>
    <t xml:space="preserve">В БЮДЖЕТ ГОРОДСКОГО ОКРУГА ДОМОДЕДОВО </t>
  </si>
  <si>
    <t>ЗА 2015 ГОД</t>
  </si>
  <si>
    <t>Код по бюджетной класси-фикации</t>
  </si>
  <si>
    <t>% исполнения к утвержденному плану</t>
  </si>
  <si>
    <t>% исполнения к уточненному плану</t>
  </si>
  <si>
    <t>3</t>
  </si>
  <si>
    <t>Раздел 1.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</si>
  <si>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228 Налогового кодекса Российской Федерации</t>
    </r>
  </si>
  <si>
    <t>1 01 02040 01 0000 110</t>
  </si>
  <si>
    <t>Налог на доходы физических лиц с доходов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</si>
  <si>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 xml:space="preserve">Налог, взимаемый в связи с применением упрощенной системы налогообложения                                                                                                                               </t>
  </si>
  <si>
    <t xml:space="preserve"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</si>
  <si>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                                  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</si>
  <si>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                                    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</si>
  <si>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                    </t>
  </si>
  <si>
    <t>Единый налог на вмененный доход для отдельных видов деятельности (за налоговые периоды истекшие до 1 января 2011 года)</t>
  </si>
  <si>
    <t xml:space="preserve">Налог, взимаемый в связи с применением патентной системы налогообложения                                                                   </t>
  </si>
  <si>
    <t xml:space="preserve">Налог, взимаемый в связи с применением патентной системы налогообложения, зачисляемый в бюджеты городских округов                                                                                       </t>
  </si>
  <si>
    <t>1 06 02010 02 0000 110</t>
  </si>
  <si>
    <t xml:space="preserve">Налог на имущество организаций </t>
  </si>
  <si>
    <t xml:space="preserve">Налог на имущество организаций по имуществу, не входящему в Единую систему газоснабжения                                                                                                                </t>
  </si>
  <si>
    <t>1 06 02020 02 0000 110</t>
  </si>
  <si>
    <t xml:space="preserve">Налог на имущество организаций по имуществу, входящему в Единую систему газоснабжения                                                                                                                   </t>
  </si>
  <si>
    <t>1 06 06010 00 0000 110</t>
  </si>
  <si>
    <t>Земельный налог, взимаемый по ставкам, установленным в соответствии с подпунктом 1 пункта 1 статьи 394 НК РФ</t>
  </si>
  <si>
    <t>1 06 06012 04 0000 110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</si>
  <si>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</si>
  <si>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</si>
  <si>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НК РФ</t>
  </si>
  <si>
    <t>1 06 06022 04 0000 110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</si>
  <si>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</si>
  <si>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</si>
  <si>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</si>
  <si>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</si>
  <si>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 xml:space="preserve">1 08 07142 01 0000 110 </t>
  </si>
  <si>
    <t>Государственная пошлина за проведение уполномоченными органами исполнительной власти субъектов РФ государственного технического осмотра, регистрации тракторов, самоходных и иных машин, за выдачу удостоверения тракториста-машиниста (тракториста)</t>
  </si>
  <si>
    <t>Прочие налоги и сборы(по отмененным местным налога и сборам)</t>
  </si>
  <si>
    <t xml:space="preserve">Целевые сборы с граждан и предприятий, учреджений , организаций на содержание милиции, на благоустройство территории, на нужды образования и другие цели   </t>
  </si>
  <si>
    <t xml:space="preserve">Целевые сборы с граждан и предприятий, учреджений , организаций на содержание милиции, на благоустройство территории, на нужды образования и другие цели, мобилизуемые на территории городских округов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</si>
  <si>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 муниципальным образованиям</t>
  </si>
  <si>
    <t>1 11 03000 00 0000 120</t>
  </si>
  <si>
    <t>Проценты, полученные от предоставления бюджетных кредитов внутри страны</t>
  </si>
  <si>
    <t>1 11 03040 04 0000 120</t>
  </si>
  <si>
    <t>Проценты, полученные от предоставления бюджетных кредитов внутри страны за счет средств   бюджетов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</si>
  <si>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</si>
  <si>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1 11 05300 00 0000 120</t>
  </si>
  <si>
    <t>Плата по соглашениям об установлении сервитута в отношении земельных участков,находящихся в государственной или муниципальной собственности</t>
  </si>
  <si>
    <t>1 11 05312 04 0000 120</t>
  </si>
  <si>
    <t xml:space="preserve">Плата по соглашениям об установлении сервитута,заключенным органами местного самоуправления городских округов,государственными или муниципальными предприятиями либо государственными или муниципальными учреждениями в отношении земельных участков </t>
  </si>
  <si>
    <t>1 12 01040 01 0000 120</t>
  </si>
  <si>
    <t>Плата за размещение отходов производства потребления</t>
  </si>
  <si>
    <t>ДОХОДЫ ОТ ОКАЗАНИЯ ПЛАТНЫХ УСЛУГ И КОМПЕНСАЦИИ ЗАТРАТ ГОСУДАРСТВА</t>
  </si>
  <si>
    <t>Прочие доходы от оказания платных услуг (работ)</t>
  </si>
  <si>
    <t>Прочие доходы  от компенсации затрат бюджетов городских округов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</si>
  <si>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</si>
  <si>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</si>
  <si>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</si>
  <si>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119.1, пунктом 1 и 2 статьи 120, статьями 125, 126, 128, 129, 129.1, 132, 133, 134, 135, 135.1  Налогового кодекса РФ, а также штрафы, взыскание которых осуществляется на основании ранее действовавшей статьи 117 НК РФ</t>
  </si>
  <si>
    <t>1 16 08010 01 0000 140</t>
  </si>
  <si>
    <t>1 16 08020 01 0000 140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</si>
  <si>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</si>
  <si>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</si>
  <si>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</si>
  <si>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</si>
  <si>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</si>
  <si>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 табачной продукции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</si>
  <si>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</si>
  <si>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водного законодательства</t>
  </si>
  <si>
    <t>Денежные взыскания (штрафы) за нарушения законодательства о недрах</t>
  </si>
  <si>
    <t xml:space="preserve">Денежные взыскания (штрафы) за нарушение законодательства об охране и использовании животного мира </t>
  </si>
  <si>
    <t>1 16 25083 04 0000 140</t>
  </si>
  <si>
    <t>Денежные взыскания (штрафы) за нарушение водного законодательства, установленные на водных объектах, находящихся в собственности городских округов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</si>
  <si>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</si>
  <si>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</si>
  <si>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1 16 35000 00 0000 140</t>
  </si>
  <si>
    <t>Суммы по искам о возмещении вреда, причиненного окружающей среде</t>
  </si>
  <si>
    <t>1 16 35002 04 0000 140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</si>
  <si>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</si>
  <si>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</si>
  <si>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</si>
  <si>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Безвозмездные поступления от др. бюджетов бюджетной системы РФ</t>
  </si>
  <si>
    <t>Субсидии бюджетам субъектов РФ и муниципальных образований (межбюджетные субсидии)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</si>
  <si>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</si>
  <si>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</si>
  <si>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округовна бюджетные инвестиции в объекты капитального строительства собственности муниципальных образований</t>
  </si>
  <si>
    <t>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</si>
  <si>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</si>
  <si>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</si>
  <si>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</si>
  <si>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</si>
  <si>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</si>
  <si>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</si>
  <si>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</si>
  <si>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бюджетам на реализацию мероприятий по подготовке и проведению чемпионата мира по футболу в 2018 году в Российской Федерации
</t>
  </si>
  <si>
    <t xml:space="preserve">Субсидии бюджетам городских округов на реализацию мероприятий по подготовке и проведению чемпионата мира по футболу в 2018 году в Российской Федерации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</si>
  <si>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</si>
  <si>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Субвенции бюджетам на составление (изменений и дополнение) списков кандидатов в присяжные заседатели федеральных судов общей юрисдикции в РФ</t>
  </si>
  <si>
    <t>Субвенции бюджетам городских округов на составление (изменений и дополнение) списков кандидатов в присяжные заседатели федеральных судов общей юрисдикции в РФ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</si>
  <si>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</si>
  <si>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</si>
  <si>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2 02 03055 00 0000 151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</si>
  <si>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</si>
  <si>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</si>
  <si>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</si>
  <si>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</si>
  <si>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</si>
  <si>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бюджетам на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</si>
  <si>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</si>
  <si>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Субвенции бюджетам на приобретение жилья гражданам, уволенным с военной службы (службы), и приравненными к ним лицами</t>
  </si>
  <si>
    <t>Субвенции бюджетам городских округов на приобретение жилья гражданам, уволенным с военной службы (службы), и приравненными к ним лицами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</si>
  <si>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</si>
  <si>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</si>
  <si>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для компенсации дополнительных расходов, возникающих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</si>
  <si>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возникающих в результате решений, принятых органами власти другого уровня</t>
  </si>
  <si>
    <t>Межбюджетные трансферты, передаваемые бюджетам на комплектование книжных фондов библиотек муниципальных образований</t>
  </si>
  <si>
    <t xml:space="preserve">2 02 04061 00 0000 151
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</si>
  <si>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</si>
  <si>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 xml:space="preserve">2 02 04061 04 0000 151
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</si>
  <si>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</si>
  <si>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>Прочие межбюджетные трансферты</t>
  </si>
  <si>
    <t xml:space="preserve">Поступления от денежных пожертвований, предоставляемых физическими лицами получателям средств бюджетов городских округов                                                                                </t>
  </si>
  <si>
    <t xml:space="preserve">Прочие безвозмездные поступления в бюджеты городских округов                                                                                                                                            </t>
  </si>
  <si>
    <t>Возврат остатков субсидий, субвенций и иных межбюджетных трансфертов, имеющих целевое назначение, прошлых лет</t>
  </si>
  <si>
    <t>Земельный налог с организаций</t>
  </si>
  <si>
    <r>
      <t>Приложение №</t>
    </r>
    <r>
      <rPr>
        <sz val="10"/>
        <rFont val="Times New Roman Cyr"/>
        <family val="0"/>
      </rPr>
      <t xml:space="preserve">   2   </t>
    </r>
  </si>
  <si>
    <t>ДОХОДЫ БЮДЖЕТА</t>
  </si>
  <si>
    <t>ГОРОДСКОГО ОКРУГА ДОМОДЕДОВО ЗА 2015 ГОД</t>
  </si>
  <si>
    <t>ПО КОДАМ КЛАССИФИКАЦИИ ДОХОДОВ БЮДЖЕТА</t>
  </si>
  <si>
    <t>администратора поступлений</t>
  </si>
  <si>
    <t>доходов бюджета</t>
  </si>
  <si>
    <t>ДОХОДЫ, всего</t>
  </si>
  <si>
    <t xml:space="preserve"> Министерство сельского хозяйства и продовольствия Московской области</t>
  </si>
  <si>
    <t>006</t>
  </si>
  <si>
    <t xml:space="preserve">Министерство экологии и природопользования Московской области
</t>
  </si>
  <si>
    <t>009</t>
  </si>
  <si>
    <t>Комитет по культуре, делам молодежи и спорту Администрации городского округа Домодедово Московской области</t>
  </si>
  <si>
    <t>Администрация городского округа Домодедово Московской области</t>
  </si>
  <si>
    <t>Субсидии бюджетам городских округов на реализацию федеральных целевых программ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</si>
  <si>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</si>
  <si>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 xml:space="preserve">2 02 04061 04 0000 151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</si>
  <si>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 </t>
  </si>
  <si>
    <t>2 07 04020 04 0200 180</t>
  </si>
  <si>
    <t>2 07 04050 04 0200 180</t>
  </si>
  <si>
    <t xml:space="preserve">Министерство потребительского рынка и услуг Московской области
</t>
  </si>
  <si>
    <t>029</t>
  </si>
  <si>
    <t xml:space="preserve"> Федеральная служба по надзору в сфере природопользования</t>
  </si>
  <si>
    <t>048</t>
  </si>
  <si>
    <t xml:space="preserve"> Федеральная служба по ветеринарному и  фитосанитарному надзору
</t>
  </si>
  <si>
    <t>081</t>
  </si>
  <si>
    <t xml:space="preserve">Федеральное казначейство
</t>
  </si>
  <si>
    <t xml:space="preserve">Акцизы по подакцизным товарам (продукции), производимым на территории Российской Федерации
</t>
  </si>
  <si>
    <t xml:space="preserve">1 03 02000 01 0000 110
</t>
  </si>
  <si>
    <t xml:space="preserve"> Федеральная служба по надзору в сфере  транспорта</t>
  </si>
  <si>
    <t>106</t>
  </si>
  <si>
    <t>1 16 25050 01 6000 140</t>
  </si>
  <si>
    <t>1 16 30000 01 6000 140</t>
  </si>
  <si>
    <t>Управление образования Администрации городского округа Домодедово Московской области</t>
  </si>
  <si>
    <t>114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</si>
  <si>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</si>
  <si>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Комитет по управлению имуществом Администрации городского округа Домодедово Московской области</t>
  </si>
  <si>
    <t>1 11 05074 04 0000 120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</si>
  <si>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 в части платы за установку и эксплуатаци</t>
  </si>
  <si>
    <t>130</t>
  </si>
  <si>
    <t>Федеральная служба по надзору в сфере защиты прав потребителей и благополучия человека</t>
  </si>
  <si>
    <t>141</t>
  </si>
  <si>
    <t>1 16 9004 004 0000 140</t>
  </si>
  <si>
    <t>Федеральная налоговая служба</t>
  </si>
  <si>
    <t>1 05 04010 02 1000 110</t>
  </si>
  <si>
    <t>ЗАДОЛЖЕННОСТЬ И ПЕРЕРАСЧЕТЫ ПО ОТМЕНЕННЫМ НАЛОГАМ, СБОРАМ И ИНЫМ ОБЯЗАТЕЛЬНЫМ ПЛАТЕЖАМ</t>
  </si>
  <si>
    <t>Министерство внутренних дел Российской Федерации</t>
  </si>
  <si>
    <t>188</t>
  </si>
  <si>
    <t>Федеральная миграционная служба</t>
  </si>
  <si>
    <t>192</t>
  </si>
  <si>
    <t>Федеральная служба государственной регистрации, кадастра и картографии</t>
  </si>
  <si>
    <t>Главное управление государственного административно-технического надзора Московской области</t>
  </si>
  <si>
    <t>816</t>
  </si>
  <si>
    <t>Главное управление «Государственная жилищная инспекция Московской области»</t>
  </si>
  <si>
    <t>817</t>
  </si>
  <si>
    <t xml:space="preserve">1 11 09044 04 0100 120  </t>
  </si>
  <si>
    <t>Муниципальное казенное учреждение городского округа Домодедово "Управление информационного и технического обеспечения"</t>
  </si>
  <si>
    <t>Приложение №1</t>
  </si>
  <si>
    <t xml:space="preserve">ФАТИЧЕСКИЕ ИСТОЧНИКИ  ВНУТРЕННЕГО ФИНАНСИРОВАНИЯ  </t>
  </si>
  <si>
    <t>Информация о выполнении программы</t>
  </si>
  <si>
    <t>муниципальных заимствований городского округа Домодедово</t>
  </si>
  <si>
    <t>за 2015 год</t>
  </si>
  <si>
    <t>по формам долговых обязательств за 2015 год</t>
  </si>
  <si>
    <t>1 05 04010 02 0000 110</t>
  </si>
  <si>
    <t>Иные закупки товаров, работ и услуг для муниципальных нужд</t>
  </si>
  <si>
    <t xml:space="preserve">Социальные выплаты гражданам, кроме публичных нормативных социальных выплат 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</si>
  <si>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предприятиям, в том числе:</t>
  </si>
  <si>
    <t>2 02 03022 00 0000 151</t>
  </si>
  <si>
    <t>Приложение № 3</t>
  </si>
  <si>
    <t>1 06 06000 00 0000 110</t>
  </si>
  <si>
    <t>Резервные фонды местных администраций</t>
  </si>
  <si>
    <t>Автомобильный транспорт</t>
  </si>
  <si>
    <t>Единый налог на вмененный доход для отдельных видов деятельности</t>
  </si>
  <si>
    <t>Целевая субсидия на ремонт асфальтовых площадок и дорожек на территории МАОУ Заревская СОШ</t>
  </si>
  <si>
    <t>Мероприятия по организации отдыха детей в каникулярное время за счет средств бюджета Московской области</t>
  </si>
  <si>
    <t>02 3 6219</t>
  </si>
  <si>
    <t>Мероприятия по организации отдыха детей в каникулярное время за счет средств бюджета городского округа Домодедово</t>
  </si>
  <si>
    <t>Целевая субсидия на приобретение стационарного металлодетектора для МБУ "МКЦ "Победа"</t>
  </si>
  <si>
    <t>Целевая субсидия на проведение выборочной санитарной вырубки деревьев на территории МАУК "ГПКиО "Елочки"</t>
  </si>
  <si>
    <t>Целевая субсидия на монтаж и наладку пожарной сигнализации в здании "Досуговый центр" МАУК "ГПКиО "Елочки"</t>
  </si>
  <si>
    <t>Целевая субсидия на разработку проектно-сметной документации для установки узлов учета тепловой энергии в филиалах МБУ "ЦКД "Импульс"</t>
  </si>
  <si>
    <t>Целевая субсидия на приобретение стационарного металлодетектора для МБУ "ЦКД "Импульс"</t>
  </si>
  <si>
    <t>Целевая субсидия на приобретение и установку оборудования, выполнение работ для обеспечения беспрепятственного доступа маломобильных групп населения к филиалам МБУ "ЦКД "Импульс" ("ГДКиС "Мир", "ГДК "Авиатор")</t>
  </si>
  <si>
    <t>Целевая субсидия на монтаж пожарной лестницы в МБУ "ЦКД "Импульс" (филиал СДК "Русь")</t>
  </si>
  <si>
    <t>01 3 8442</t>
  </si>
  <si>
    <t>Целевая субсидия на приобретение стационарного металлодетектора для МБУК "ЦБС"</t>
  </si>
  <si>
    <t xml:space="preserve">08 </t>
  </si>
  <si>
    <t>03 1 2624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</si>
  <si>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1941-1945 годов за счет средств местного бюджета</t>
  </si>
  <si>
    <t>08 3 2134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</si>
  <si>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1941-1945 годов</t>
  </si>
  <si>
    <t>08 3 5134</t>
  </si>
  <si>
    <t>Целевая субсидия на проведение работ по монтажу и наладке пожарной сигнализации в МБУ "ЦФКС "Горизонт"</t>
  </si>
  <si>
    <t>Субсидии бюджетным учреждениям , в том числе:</t>
  </si>
  <si>
    <t xml:space="preserve">от                        №   </t>
  </si>
  <si>
    <t>Подпрограмма "Модернизация объектов коммунальной инфраструктуры на 2014-2018 годы"</t>
  </si>
  <si>
    <t>09 1 2506</t>
  </si>
  <si>
    <t>09 1 2507</t>
  </si>
  <si>
    <t>09 1 2508</t>
  </si>
  <si>
    <t>09 1 6018</t>
  </si>
  <si>
    <t xml:space="preserve">Устройство детских игровых и спортивных площадок на территории городского округа Домодедово </t>
  </si>
  <si>
    <t>09 3 2518</t>
  </si>
  <si>
    <t>09 2 2001</t>
  </si>
  <si>
    <t>09 2 2002</t>
  </si>
  <si>
    <t>Акции и иные формы участия в капитале, находящиеся в государственной и муниципальной собственности</t>
  </si>
  <si>
    <t>1 11 05000 00 0000 120</t>
  </si>
  <si>
    <t>Софинансирование расходов на участие в государственной программе Московской области "Эффективная власть на 2014-2018 годы", подпрограммы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Московской области" на автоматизацию управления бюджетным процессом городского округа Домодедово</t>
  </si>
  <si>
    <t>2 02 04025 00 0000 151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</si>
  <si>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</si>
  <si>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15 0 0000</t>
  </si>
  <si>
    <t>Муниципальная программа "Повышение энергетической эффективности городского округа Домодедово на 2015-2020 г."</t>
  </si>
  <si>
    <t>Целевая субсидия на ремонт фасада МАОУ Домодедовская СОШ №1</t>
  </si>
  <si>
    <t>Муниципальная  программа "Архитектура и градостроительство городского округа Домодедово на 2014-2018 годы"</t>
  </si>
  <si>
    <t>11 Г 2003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</si>
  <si>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</si>
  <si>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</si>
  <si>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</si>
  <si>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2 02 03069 00 0000 151</t>
  </si>
  <si>
    <t>1 08 07000 01 0000 110</t>
  </si>
  <si>
    <t xml:space="preserve">1 08 07150 01 0000 110 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</si>
  <si>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</si>
  <si>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</si>
  <si>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</si>
  <si>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</si>
  <si>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  обладающих земельным участком, расположенным в границах городских округов</t>
  </si>
  <si>
    <t>1 06 06042 04 0000 110</t>
  </si>
  <si>
    <t>11 7 2514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</si>
  <si>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</si>
  <si>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</si>
  <si>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</si>
  <si>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Прочие поступления от денежных взысканий (штрафов) и иных сумм в возмещение ущерба</t>
  </si>
  <si>
    <t>1 16 90000 00 0000 140</t>
  </si>
  <si>
    <t>1 05 03000 01 0000 110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</si>
  <si>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</si>
  <si>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</si>
  <si>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</si>
  <si>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11 1 0000</t>
  </si>
  <si>
    <t>12 1 2700</t>
  </si>
  <si>
    <t>99 0 1205</t>
  </si>
  <si>
    <t>Муниципальная программа "Эффективная власть на 2014-2018 годы"</t>
  </si>
  <si>
    <t>Подпрограмма "Обеспечение реализации полномочий Финансового управления Администрации городского округа Домодедово на 2014-2018 годы"</t>
  </si>
  <si>
    <t>11 4 0000</t>
  </si>
  <si>
    <t>11 4 1204</t>
  </si>
  <si>
    <t>11 4 1295</t>
  </si>
  <si>
    <t>99 0 1203</t>
  </si>
  <si>
    <t>99 0 1204</t>
  </si>
  <si>
    <t>99 0 1295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</si>
  <si>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</si>
  <si>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</si>
  <si>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</si>
  <si>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</si>
  <si>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</si>
  <si>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</si>
  <si>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</si>
  <si>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</si>
  <si>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</si>
  <si>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Акцизы по подакцизным товарам (продукции), производимым на территории Российской Федерации</t>
  </si>
  <si>
    <t>1 03 02000 01 0000 110</t>
  </si>
  <si>
    <t>017 01 05 02 01 04 0000 610</t>
  </si>
  <si>
    <t>000 01 06 00 00 00 0000 000</t>
  </si>
  <si>
    <t>ОБЩЕГОСУДАРСТВЕННЫЕ ВОПРОСЫ</t>
  </si>
  <si>
    <t>Увеличение прочих остатков средств бюджетов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</si>
  <si>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</si>
  <si>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</si>
  <si>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</si>
  <si>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</si>
  <si>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</si>
  <si>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</si>
  <si>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Организация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</si>
  <si>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"Развитие имущественного комплекса городского округа Домодедово, в том числе обеспечение государственной регистрации права собственности в городском округе Домодедово; управление и распоряжение акциями хозяйственных обществ; приватизация имущества; управление и распоряжение земельными участками на 2014-2018 годы"</t>
  </si>
  <si>
    <t>11 Г 2203</t>
  </si>
  <si>
    <t>Муниципальная программа "Развитие жилищно-коммунального хозяйства на 2014-2018 годы"</t>
  </si>
  <si>
    <t>Подпрограмма "Санитарное содержание, благоустройство и озеленение городского округа Домодедово на 2014-2018 годы"</t>
  </si>
  <si>
    <t>09 2 2011</t>
  </si>
  <si>
    <t>Подпрограмма "Развитие малого и среднего предпринимательства в городском округе Домодедово на 2014-2018 годы"</t>
  </si>
  <si>
    <t>10 1 0000</t>
  </si>
  <si>
    <t>01 1 0000</t>
  </si>
  <si>
    <t>01 2 0000</t>
  </si>
  <si>
    <t>2 02 03119 00 0000 151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</si>
  <si>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</si>
  <si>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</si>
  <si>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</si>
  <si>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</si>
  <si>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</si>
  <si>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</si>
  <si>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</si>
  <si>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</si>
  <si>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017 01 01 00 00 04 0000 810</t>
  </si>
  <si>
    <t>Мероприятия по землеустройству и землепользованию</t>
  </si>
  <si>
    <t>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</si>
  <si>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</si>
  <si>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субвенции бюджетам городских округов</t>
  </si>
  <si>
    <t>2 02 03999 04 0000 151</t>
  </si>
  <si>
    <t>2 02 04005 04 0000 151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</si>
  <si>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</si>
  <si>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</si>
  <si>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</si>
  <si>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017 01 03 01 00 04 0000 710</t>
  </si>
  <si>
    <t>Подпрограмма "Молодое поколение городского округа Домодедово на 2014-2018 годы"</t>
  </si>
  <si>
    <t>04 2 8431</t>
  </si>
  <si>
    <t>01 0 8440</t>
  </si>
  <si>
    <t>11 1 2088</t>
  </si>
  <si>
    <t>01 1 8442</t>
  </si>
  <si>
    <t>01 0 8450</t>
  </si>
  <si>
    <t>01 4 8002</t>
  </si>
  <si>
    <t>01 4 8452</t>
  </si>
  <si>
    <t>01 0 8441</t>
  </si>
  <si>
    <t>04 1 8482</t>
  </si>
  <si>
    <t>04 1 8620</t>
  </si>
  <si>
    <t>04 1 8582</t>
  </si>
  <si>
    <t>Подпрограмма "Укрепление материально-технической базы учреждений культуры и искусства городского округа Домодедово на 2014-2018 годы"</t>
  </si>
  <si>
    <t>Подпрограмма "Развитие библиотечного дела в городском округе Домодедово на 2014-2018 годы"</t>
  </si>
  <si>
    <t>01 3 8440</t>
  </si>
  <si>
    <t xml:space="preserve">016 </t>
  </si>
  <si>
    <t>01 3 8452</t>
  </si>
  <si>
    <t>Целевая субсидия на приобретение оборудования</t>
  </si>
  <si>
    <t>02 2 6224</t>
  </si>
  <si>
    <t>02 2 6225</t>
  </si>
  <si>
    <t>02 2 7121</t>
  </si>
  <si>
    <t>Подпрограмма "Дополнительное образование, воспитание и психолого-социальное сопровождение детей в городском округе Домодедово на 2015-2019 годы"</t>
  </si>
  <si>
    <t>02 3 7121</t>
  </si>
  <si>
    <t>02 2 7122</t>
  </si>
  <si>
    <t>02 3 7123</t>
  </si>
  <si>
    <t>02 3 7124</t>
  </si>
  <si>
    <t>08 1 0000</t>
  </si>
  <si>
    <t>10 0 0000</t>
  </si>
  <si>
    <t>10 5 0000</t>
  </si>
  <si>
    <t>14 0 0000</t>
  </si>
  <si>
    <t>02 1 0000</t>
  </si>
  <si>
    <t>1 09 07030 00 0000 110</t>
  </si>
  <si>
    <t>Подпрограмма "Обеспечение содержания и ремонта автомобильных дорог, тротуаров, мостов муниципального значения на 2014-2018 годы"</t>
  </si>
  <si>
    <t>Муниципальная программа "Предпринимательство городского округа Домодедово на 2014-2018 годы"</t>
  </si>
  <si>
    <t>Муниципальная программа "Жилище" городского округа Домодедово на 2014-2018 годы"</t>
  </si>
  <si>
    <t>Подпрограмма "Обеспечение жильем молодых семей городского округа Домодедово на 2014-2018 годы"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</si>
  <si>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</si>
  <si>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</si>
  <si>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2 02 03000 00 0000 151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</si>
  <si>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</si>
  <si>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</si>
  <si>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Код</t>
  </si>
  <si>
    <t>019</t>
  </si>
  <si>
    <t>Публичные нормативные социальные выплаты гражданам</t>
  </si>
  <si>
    <t xml:space="preserve">Закупки товаров, работ и услуг для муниципальных нужд (Оплата ежедневного бесплатного обеда малоимущим, одиноко проживающим гражданам, состоящим на учете в Домодедовском управлении социальной защиты населения Министерства социальной защиты населения Московской области) 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</si>
  <si>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</si>
  <si>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</si>
  <si>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</si>
  <si>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</si>
  <si>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</si>
  <si>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</si>
  <si>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2 02 02215 00 0000 151</t>
  </si>
  <si>
    <t xml:space="preserve">Субсидии бюджетам на реализацию федеральных целевых программ
</t>
  </si>
  <si>
    <t>2 02 02051 00 0000 151</t>
  </si>
  <si>
    <t>Софинансирование расходов на участие в государственной программе Московской области "Развитие ЖКХ в 2014-2018 гг." на приобретение техники для коммунальных услуг</t>
  </si>
  <si>
    <r>
      <t>Приложение №</t>
    </r>
    <r>
      <rPr>
        <sz val="10"/>
        <rFont val="Times New Roman Cyr"/>
        <family val="0"/>
      </rPr>
      <t xml:space="preserve">  8</t>
    </r>
  </si>
  <si>
    <t>Информация о состоянии и движении муниципального долга городского округа Домодедово  Московской области</t>
  </si>
  <si>
    <t>Выплата единовременной материальной помощи гражданам пострадавшим от политических репрессий*</t>
  </si>
  <si>
    <t>Выплата единовременной материальной помощи участникам Курской битвы (включая вдов)*</t>
  </si>
  <si>
    <t>000 01 06 01 00 00 0000 000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</si>
  <si>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</si>
  <si>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</si>
  <si>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НАЛОГИ НА ИМУЩЕСТВО</t>
  </si>
  <si>
    <t>1 06 00000 00 0000 000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</si>
  <si>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</si>
  <si>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</si>
  <si>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</si>
  <si>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</si>
  <si>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по разделам, подразделам, целевым статьям (муниципальным программам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</si>
  <si>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</si>
  <si>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Уплата налогов, сборов и иных платежей</t>
  </si>
  <si>
    <t>850</t>
  </si>
  <si>
    <t>02 2 0000</t>
  </si>
  <si>
    <t>Капитальные вложения в объекты недвижимого имущества государственной (муниципальной) собственности</t>
  </si>
  <si>
    <t>Совет депутатов городского округа Домодедово  МО</t>
  </si>
  <si>
    <t>Целевая субсидия на софинансирование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</t>
  </si>
  <si>
    <t>Целевая субсидия на софинансирование мероприятий Федеральной целевой программы развития образования на 2011-2015 годы по направлению "Распространение на всей территории Российской Федерации современных моделей успешной социализации детей"</t>
  </si>
  <si>
    <t>Целевая субсидия на ремонт системы отопления, водопровода, канализации МАОУ Чурилковская СОШ</t>
  </si>
  <si>
    <t>Целевая субсидия на приобретение мебели, системных блоков, электросветильников для МАОУ Краснопутьская СОШ</t>
  </si>
  <si>
    <t>Целевая субсидия на приобретение оборудования в компьютерный класс МАОУ Домодедовская СОШ № 2</t>
  </si>
  <si>
    <t>Целевая субсидия на приобретение учебной мебели и классных досок для МАОУ Домодедовский лицей № 3</t>
  </si>
  <si>
    <t>Целевая субсидия на приобретение стационарного металлодетектора для МБОУ ДОД "ДДШИ"</t>
  </si>
  <si>
    <t>Целевая субсидия на выполнение электромонтажных работ и телефонизацию корпуса МБОУ детский дом им.Талалихина</t>
  </si>
  <si>
    <t>99 0 440</t>
  </si>
  <si>
    <t>Целевая субсидия на приобретение интерактивной доски, компьютерной и оргтехники для учащихся МБОУ Лобановская СОШ</t>
  </si>
  <si>
    <t>03 2 2623</t>
  </si>
  <si>
    <t>Подпрограмма "Создание условий для оказания медицинской помощи населению на 2015-2019 годы"</t>
  </si>
  <si>
    <t xml:space="preserve">017  </t>
  </si>
  <si>
    <t>03 3 2624</t>
  </si>
  <si>
    <t>03 3 2625</t>
  </si>
  <si>
    <t>03 3 2626</t>
  </si>
  <si>
    <t>08 1 2505</t>
  </si>
  <si>
    <t>08 2 2506</t>
  </si>
  <si>
    <t>Приложение № 9</t>
  </si>
  <si>
    <t>000 01 06 06 00 00 0000 700</t>
  </si>
  <si>
    <t>1 01 02010 01 0000 110</t>
  </si>
  <si>
    <t>Проведение подписки на периодические печатные издания газеты "Призыв" и "Ежедневные новости. Подмосковье" инвалидам и семьям с детьми-инвалидами, состоящими на учете в Домодедовском управлении социальной защиты населения Министерства социальной защиты населения Московской области, малоимущим, одиноко проживающим гражданам, имеющим место жительства в г.о.Домодедово*</t>
  </si>
  <si>
    <t>11 2 0000</t>
  </si>
  <si>
    <t>11 2 2203</t>
  </si>
  <si>
    <t>02 4 0000</t>
  </si>
  <si>
    <t xml:space="preserve">Исполнение судебных актов </t>
  </si>
  <si>
    <t>830</t>
  </si>
  <si>
    <t>Иные закупки  товаров, работ и услуг для муниципальных нужд</t>
  </si>
  <si>
    <t>Доходы от компенсации затрат государства</t>
  </si>
  <si>
    <t>1 08 00000 00 0000 000</t>
  </si>
  <si>
    <t>03 3 0000</t>
  </si>
  <si>
    <t>04 0 0000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</si>
  <si>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</si>
  <si>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)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</si>
  <si>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</si>
  <si>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Социальное обеспечение населения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</si>
  <si>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</si>
  <si>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</si>
  <si>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</si>
  <si>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2 19 04000 04 0000 151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</si>
  <si>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</si>
  <si>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</si>
  <si>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Целевая субсидия на мероприятия в сфере культуры</t>
  </si>
  <si>
    <t>2 02 03029 04 0000 151</t>
  </si>
  <si>
    <t>1 16 33040 04 0000 140</t>
  </si>
  <si>
    <t>2 02 03119 04 0000 151</t>
  </si>
  <si>
    <t>2 07 04010 04 0000 180</t>
  </si>
  <si>
    <t>2 07 04020 04 0000 180</t>
  </si>
  <si>
    <t>2 02 02000 00 0000 151</t>
  </si>
  <si>
    <t>Прочие субсидии</t>
  </si>
  <si>
    <t>2 02 02999 00 0000 151</t>
  </si>
  <si>
    <t>02 2 6221</t>
  </si>
  <si>
    <t>Подпрограмма "Создание условий для реализации муниципальной программы городского округа Домодедово на 2015-2019 годы"</t>
  </si>
  <si>
    <t>02 4 7105</t>
  </si>
  <si>
    <t>02 3 7509</t>
  </si>
  <si>
    <t>02 4 2204</t>
  </si>
  <si>
    <t>02 1 6214</t>
  </si>
  <si>
    <t>02 4 7152</t>
  </si>
  <si>
    <t xml:space="preserve">Подпрограмма "Общее образование городского округа Домодедово на 2015-2019 год"    </t>
  </si>
  <si>
    <t>02 2 7101</t>
  </si>
  <si>
    <t>02 3 6224</t>
  </si>
  <si>
    <t>Уплата налога на имущество организаций и земельного налога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</si>
  <si>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</si>
  <si>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</si>
  <si>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2 02 02216 00 0000 151</t>
  </si>
  <si>
    <t>Обеспечение деятельности МБУ "Центр содействия развитию земельно-имущественного комплекса городского округа Домодедово"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</si>
  <si>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</si>
  <si>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13 3 6024</t>
  </si>
  <si>
    <t>Реализация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</si>
  <si>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10 1 6210</t>
  </si>
  <si>
    <t>Целевая субсидия МБУ "КБ" на приобретение навесного оборудования для коммунальной техники</t>
  </si>
  <si>
    <t>Целевая субсидия на установку автономных систем оповещения и управления эвакуации в дошкольных учреждениях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</si>
  <si>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</si>
  <si>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04 1 0000</t>
  </si>
  <si>
    <t>Уменьшение остатков средств финансовых резервов бюджетов городских округов, размещенных в ценные бумаги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</si>
  <si>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</si>
  <si>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</si>
  <si>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</si>
  <si>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</si>
  <si>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</si>
  <si>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</si>
  <si>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</si>
  <si>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Бюджетные кредиты, полученные от других бюджетов бюджетной системы РФ  бюджетами городских округов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</si>
  <si>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</si>
  <si>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</si>
  <si>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</si>
  <si>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</si>
  <si>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</si>
  <si>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</si>
  <si>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1 16 30000 01 0000 140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</si>
  <si>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</si>
  <si>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Подпрограмма "Формирование доступной среды на 2014-2019 годы"</t>
  </si>
  <si>
    <t>08 5 0000</t>
  </si>
  <si>
    <t>08 5 2507</t>
  </si>
  <si>
    <t>Муниципальная  программа "Информационная и внутренняя политика городского округа Домодедово на 2014-2018 годы"</t>
  </si>
  <si>
    <t xml:space="preserve">Субсидии негосударственным дошкольным образовательным учреждениям, в том числе: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</si>
  <si>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</si>
  <si>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ЗАДОЛЖЕННОСТЬ И ПЕРЕРАСЧЕТЫ ПО ОТМЕНЕННЫМ НАЛОГАМ, СБОРАМ И ИНЫМ ОБЯЗАТЕЛЬНЫМ ПЛАТЕЖАМ 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</si>
  <si>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</si>
  <si>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017 01 06 05 01 04 0000 640</t>
  </si>
  <si>
    <t>000 01 06 05 00 00 0000 500</t>
  </si>
  <si>
    <t>12 1 0000</t>
  </si>
  <si>
    <t>12 1 2301</t>
  </si>
  <si>
    <t>1 11 05012 04 0000 120</t>
  </si>
  <si>
    <t>1 13 02994 04 0000 130</t>
  </si>
  <si>
    <t>1 13 01994 04 0000 130</t>
  </si>
  <si>
    <t>Прочие доходы  от оказания платных услуг (работ) получателями средств бюджетов городских округов</t>
  </si>
  <si>
    <t>Резервные средства</t>
  </si>
  <si>
    <t>870</t>
  </si>
  <si>
    <t>Прочая закупка товаров, работ и услуг для муниципальных нужд</t>
  </si>
  <si>
    <t>Целевые субсидии бюджетным учреждениям, в том числе:</t>
  </si>
  <si>
    <t>Прочие неналоговые доходы  бюджетов городских округов</t>
  </si>
  <si>
    <t>1 17 05040 04 0000 180</t>
  </si>
  <si>
    <t>Подпрограмма "Охрана особо охраняемых природных территорий местного зачения, городских лесов и лесопарковых зон и зон озелененных территорий городского округа Домдедово и борьба с сорной растительностью на 2015-2019 годы"</t>
  </si>
  <si>
    <t>06 3 0000</t>
  </si>
  <si>
    <t>06 3 2410</t>
  </si>
  <si>
    <t>06 3 2292</t>
  </si>
  <si>
    <t>Муниципальная программа "Социальная защита населения городского округа Домодедово на 2014-2019 годы"</t>
  </si>
  <si>
    <t>03 1 2101</t>
  </si>
  <si>
    <t>03 1 2324</t>
  </si>
  <si>
    <t>03 1 2603</t>
  </si>
  <si>
    <t>03 1 2604</t>
  </si>
  <si>
    <t>03 1 2605</t>
  </si>
  <si>
    <t>03 1 2606</t>
  </si>
  <si>
    <t>03 1 2607</t>
  </si>
  <si>
    <t>03 1 2608</t>
  </si>
  <si>
    <t>03 1 2609</t>
  </si>
  <si>
    <t>03 1 2610</t>
  </si>
  <si>
    <t>03 1 2611</t>
  </si>
  <si>
    <t>03 1 2612</t>
  </si>
  <si>
    <t>03 1 2613</t>
  </si>
  <si>
    <t>03 1 2614</t>
  </si>
  <si>
    <t>03 1 2616</t>
  </si>
  <si>
    <t>03 1 2617</t>
  </si>
  <si>
    <t>03 1 2621</t>
  </si>
  <si>
    <t>03 1 2622</t>
  </si>
  <si>
    <t>03 1 2623</t>
  </si>
  <si>
    <t>03 1 6141</t>
  </si>
  <si>
    <t xml:space="preserve">Муниципальная программа  "Спорт городского округа Домодедово на 2014-2018 годы" </t>
  </si>
  <si>
    <t>Подпрограмма "Обеспечение пожарной безопасности на территории городского округа Домодедово на 2014-2018 годы"</t>
  </si>
  <si>
    <t>Подпрограмма "Профилактика преступлений и иных правонарушений на территории городского округа Домодедово на  2014-2018 годы"</t>
  </si>
  <si>
    <t>07 5 0000</t>
  </si>
  <si>
    <t>07 5 2502</t>
  </si>
  <si>
    <t>Оплата жилого помещения и коммунальных услуг   малоимущим семьям, оказавшимся в трудной жизненной ситуации, которую они не могут преодолеть самостоятельно по независящим от них причинам, не имеющих возможности предоставления полного пакета документов для назначения субсидии и имеющие среднедушевой доход ниже величины прожиточного минимума в Московской области (не попадающих под действие Постановления Правительства РФ от 14 декабря 2005 года № 761 «О предоставлении субсидий на оплату жилого помещения и коммунальных услуг»*</t>
  </si>
  <si>
    <t>Закупки товаров, работ и услуг для муниципальных нужд (Оплата ежедневного бесплатного обеда малоимущим, одиноко проживающим гражданам,  состоящим на учете в Домодедовском управлении социальной защиты населения Министерства социальной защиты населения Московской области)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</si>
  <si>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</si>
  <si>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</si>
  <si>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</si>
  <si>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</si>
  <si>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</si>
  <si>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1 05 02010 02 0000 110</t>
  </si>
  <si>
    <t>310</t>
  </si>
  <si>
    <t>Обслуживание государственного (муниципального) долга</t>
  </si>
  <si>
    <t>500</t>
  </si>
  <si>
    <t>520</t>
  </si>
  <si>
    <t xml:space="preserve">Межбюджетные трансферты  </t>
  </si>
  <si>
    <t>Субсидии</t>
  </si>
  <si>
    <t>600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</si>
  <si>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</si>
  <si>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учреждениям, в том числе:</t>
  </si>
  <si>
    <t>Выплата единовременной материальной помощи по медицинским показаниям*</t>
  </si>
  <si>
    <t>Организация и содержание мест захоронения</t>
  </si>
  <si>
    <t>Управление образования</t>
  </si>
  <si>
    <t>ПЛАТЕЖИ ПРИ ПОЛЬЗОВАНИИ ПРИРОДНЫМИ РЕСУРСАМИ</t>
  </si>
  <si>
    <t>1 12 00000 00 0000 000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</si>
  <si>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</si>
  <si>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</si>
  <si>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</si>
  <si>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</si>
  <si>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</si>
  <si>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</si>
  <si>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</si>
  <si>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</si>
  <si>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</si>
  <si>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</si>
  <si>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</si>
  <si>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</si>
  <si>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</si>
  <si>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</si>
  <si>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</si>
  <si>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</si>
  <si>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</si>
  <si>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</si>
  <si>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</si>
  <si>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</si>
  <si>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Комитет по культуре, делам молодежи и спорту</t>
  </si>
  <si>
    <t>016</t>
  </si>
  <si>
    <t>017</t>
  </si>
  <si>
    <t>Закупка товаров,работ и услуг для государственных (муниципальных) нужд</t>
  </si>
  <si>
    <t>000 01 05 01 01 00 0000 610</t>
  </si>
  <si>
    <t xml:space="preserve">Субсидии бюджетам городских округов на реализацию федеральных целевых программ
</t>
  </si>
  <si>
    <t>2 02 02215 04 0000 151</t>
  </si>
  <si>
    <t>Софинансирование расходов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годы". Замена и модернизация лифтов, отработавших нормативный срок службы</t>
  </si>
  <si>
    <t>09 3 2515</t>
  </si>
  <si>
    <t>Муниципальная программа  "Эффективная власть на 2014-2018 годы"</t>
  </si>
  <si>
    <t>Строительство безнапорного наружного канализационного коллектора микрорайон "Западный",  ГПЗ "Константиново"</t>
  </si>
  <si>
    <t>Приобретение станции обезжелезивания контейнерного типа в мкр-н Воостряково, д.Заборье</t>
  </si>
  <si>
    <t>Строительство водопроводной сети в д.Новосьяново</t>
  </si>
  <si>
    <t>Прокладка теплотрассы к модульным зданиям на территории лагеря им. Талалихина</t>
  </si>
  <si>
    <t xml:space="preserve">Целевая субсидия МБУ "КБ" на приобретение автомобиля (ломовоза) на шасси КАМАЗ </t>
  </si>
  <si>
    <t>Целевая субсидия МБУ "КБ" на приобретение и установку контейнеров для мусора</t>
  </si>
  <si>
    <t>Софинансирование расходов на участие в государственной программе Московской области "Развитие жилищно-коммунального хозяйства на 2014-2018 годы" на 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</t>
  </si>
  <si>
    <t>09 2 2015</t>
  </si>
  <si>
    <t>Целевая субсидия на возмещение специализированной службе по вопросам похоронного дела на услуги предоставляемые согласно гарантированному перечню услуг на погребение умерших, не подлежавших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мертворожденных детей по истечении 154 дней беременности, умерших, личность которых не установлена органами внутренних дел в определенные законодательством Российской Федерации сроки, в части превышающей размер возмещения, установленный законом Московской области от 17.07.2007 № 115/2007-ОЗ «О погребении и похоронном деле в Московской области»</t>
  </si>
  <si>
    <t>Подпрограмма "Энергосбережение в системе уличного освещения на 2015-2020 г."</t>
  </si>
  <si>
    <t>15 4 0000</t>
  </si>
  <si>
    <t>15 4 2001</t>
  </si>
  <si>
    <t>Подпрограмма "Охрана особо охраняемых природных территорий местного зачения, городских лесов и лесопарковых зон и зон озелененных территорий городского округа Домодедово и борьба с сорной растительностью на 2015-2019 годы"</t>
  </si>
  <si>
    <t>Муниципальная программа " Развитие образования и воспитания в городском округе Домодедово на 2015-2019 годы"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</si>
  <si>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</si>
  <si>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</si>
  <si>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09 3 0000</t>
  </si>
  <si>
    <t>Приложение № 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</si>
  <si>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</si>
  <si>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</si>
  <si>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Возврат бюджетных кредитов, предоставленных внутри страны в валюте Российской Федерации</t>
  </si>
  <si>
    <t>03 3 6208</t>
  </si>
  <si>
    <t>Обеспечение полноценным питанием беременных женщин, кормящих матерей, а также детей в возрасте до трех лет</t>
  </si>
  <si>
    <t>000 01 02 0000  00 0000 700</t>
  </si>
  <si>
    <t>017 01 02 00 00  04 0000 710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</si>
  <si>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</si>
  <si>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08</t>
  </si>
  <si>
    <t>000 01 06 06 00 00 0000 800</t>
  </si>
  <si>
    <t>2 02 02085 00 0000 151</t>
  </si>
  <si>
    <t>Выплата единовременной материальной помощи участникам ВОВ к дню Победы (включая вдов)*</t>
  </si>
  <si>
    <t>Выплата единовременной материальной помощи гражданам, находящимся в трудной жизненной ситуации*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</si>
  <si>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</si>
  <si>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Обеспечение деятельности подведомственных учреждений</t>
  </si>
  <si>
    <t>ОХРАНА ОКРУЖАЮЩЕЙ СРЕДЫ</t>
  </si>
  <si>
    <t>Другие вопросы в области образования</t>
  </si>
  <si>
    <t>000 01 03 01 00 00 0000 800</t>
  </si>
  <si>
    <t>017 01 03 01 00 04 0000 810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</si>
  <si>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</si>
  <si>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</si>
  <si>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</si>
  <si>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</si>
  <si>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</si>
  <si>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</si>
  <si>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</si>
  <si>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Целевая субсидия МБУ "КБ" на приобретение и посадку саженцев по адресу: г.Домодедово, мкр-н Западный, Племхозский проезд, стр.3; ул. Лунная; Аллея Победы</t>
  </si>
  <si>
    <t>Целевая субсидия МБУ "КБ" на озеленение ул. Лунная, мкр-н Западный</t>
  </si>
  <si>
    <t>Целевая субсидия МБУ "КБ" на приобретение и посадку деревьев по адресу: ул.Каширское шоссе, д.27а - д.29</t>
  </si>
  <si>
    <t>Целевая субсидия на ремонт и облицовку керамогранитом фасада здания ГДК "Авиатор" МБУ "ЦКД "Импульс", технический надзор, проведение экспертизы</t>
  </si>
  <si>
    <t>Доплаты к пенсиям, дополнительное пенсионное обеспечение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</si>
  <si>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</si>
  <si>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</si>
  <si>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</si>
  <si>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04 1 2610</t>
  </si>
  <si>
    <t>Выплата единовременной материальной помощи участникам Сталинградской битвы*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</si>
  <si>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</si>
  <si>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</si>
  <si>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Прочие местные налоги и сборы, мобилизуемые на территориях городских округов</t>
  </si>
  <si>
    <t>320</t>
  </si>
  <si>
    <t>Проведение муниципальных выборов</t>
  </si>
  <si>
    <t>1 16 25030 01 0000 140</t>
  </si>
  <si>
    <t>Прочие источники внутреннего финансирования дефицитов бюджетов</t>
  </si>
  <si>
    <t xml:space="preserve">10 </t>
  </si>
  <si>
    <t>Налог на рекламу, мобилизуемый на территориях городских округов</t>
  </si>
  <si>
    <t>02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</si>
  <si>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</si>
  <si>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 государственной программой Московской области "Образование Подмосковья на 2014-2018 годы"</t>
  </si>
  <si>
    <t>02 2 6231</t>
  </si>
  <si>
    <t>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</t>
  </si>
  <si>
    <t>02 2 6242</t>
  </si>
  <si>
    <t>Целевая субсидия на устройство мягкого покрытия спортивной площадки в МАОУ Домодедовская СОШ № 6</t>
  </si>
  <si>
    <t xml:space="preserve">Целевая субсидия на приобретение подарка для МАОУ "Востряковская средняя образовательная школа № 3 с УИОП" в связи с 50-летием со дня образования учреждения </t>
  </si>
  <si>
    <t>Целевая субсидия на на проведение ремонта входных групп и туалетов в базовых общеобразовательных учреждениях, в которых созданы условия для инклюзивного образования детей-инвалидов (МАОУ Домодедовский лицей № 3)</t>
  </si>
  <si>
    <t>Целевая субсидия на на проведение ремонта входных групп и туалетов в базовых общеобразовательных учреждениях, в которых созданы условия для инклюзивного образования детей-инвалидов (МАОУ Домодедовская СОШ № 7)</t>
  </si>
  <si>
    <t xml:space="preserve">Целевая субсидия на приобретение мебели для МАОУ Востряковская СОШ № 3 </t>
  </si>
  <si>
    <t>Целевая субсидия на установку системы контроля управлением доступом МАОУ Константиновская СОШ</t>
  </si>
  <si>
    <t>Целевая субсидия на приобретение оборудования, инвентаря и учебной мебели для муниципальных общеобразовательных учреждений</t>
  </si>
  <si>
    <t xml:space="preserve">Целевая субсидия на приобретение электрической печи в пищеблок основной школы МАОУ Домодедовоская СОШ № 4 с УИОП </t>
  </si>
  <si>
    <t>Целевая субсидия на приобретение сервера для МАОУ Востряковский лицей № 1</t>
  </si>
  <si>
    <t>Целевая субсидия на приобретение  учебной мебели для МАОУ Добрыниховская СОШ</t>
  </si>
  <si>
    <t>Целевая субсидия на ремонт пищеблока и помещений в МБОУ детский дом им.Талалихина</t>
  </si>
  <si>
    <t>Целевая субсидия на проведение мероприятий, связанных с противопожарной безопасностью в МБУ "ЦКД "Импульс", составление ПСД</t>
  </si>
  <si>
    <t>Целевая субсидия на замену котлов в котельной МАУК "ГПКиО "Елочки"</t>
  </si>
  <si>
    <t>Софинансирование мероприятия по созданию доступной среды в муниципальных учреждениях культуры Московской области подпрограммы "Доступная среда" на 2011-2015 годы государственной программы Московской области "Социальная защита населения Московской области" на 2014-2018 годы</t>
  </si>
  <si>
    <t>03 2 2624</t>
  </si>
  <si>
    <t>Приобретение оборудования для оснащения плоскостных спортивных сооружений в муниципальных образованиях Московской области</t>
  </si>
  <si>
    <t>04 1 6251</t>
  </si>
  <si>
    <t>Капитальный ремонт плоскостных спортивных сооружений в муниципальных образованиях Московской области</t>
  </si>
  <si>
    <t>04 1 6252</t>
  </si>
  <si>
    <t>04 1 8681</t>
  </si>
  <si>
    <t>04 1 8682</t>
  </si>
  <si>
    <t xml:space="preserve">610 </t>
  </si>
  <si>
    <t>Целевая субсидия на приобретение мебели для МАОУ Востряковская СОШ № 3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</si>
  <si>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местного бюджета</t>
  </si>
  <si>
    <t>08 4 2082</t>
  </si>
  <si>
    <t>Целевая субсидия МАУ "ГС "Авангард" на приобретение основных средств</t>
  </si>
  <si>
    <t xml:space="preserve">Проведение государственной экспертизы ПСД на строительство административно-хозяйственного здания, получение технических условий на присоединение энергопринимающих устройств МАУ " ГС "Авангард" </t>
  </si>
  <si>
    <t>Целевая субсидия на приобретение материалов и оборудования МБУ "ЭРИС"</t>
  </si>
  <si>
    <t>Муниципальная программа "Развитие образования и воспитания в городском округе Домодедово 2015-2019 годы"</t>
  </si>
  <si>
    <t>1 06 06030 00 0000 110</t>
  </si>
  <si>
    <t>Подпрограмма "Обеспечение деятельности МКУ "Управление информационного и технического обеспечения" на 2014-2018 годы"</t>
  </si>
  <si>
    <t>11 Г 2002</t>
  </si>
  <si>
    <t>12 2 2203</t>
  </si>
  <si>
    <t>Прокладка магистральных трубопроводов от котельной КШФ до тепловой камеры у жилого дома № 29 по ул. Текстильщиков, мкр-н Западный, г.Домодедово</t>
  </si>
  <si>
    <t>Прокладка магистральных тепловых сетей от котельной "Авиационная" до жилых домов №№ 8, 9/1, 9/2 ООО "ПФК "Гюнай" по ул. Жуковского мкр-н Авиационный, г.Домодедово</t>
  </si>
  <si>
    <t>Целевая субсидия МБУ "КБ" на изготовление и установку факела на Олимпийской аллее</t>
  </si>
  <si>
    <t>Целевая субсидия МБУ "КБ" на изготовление и установку стенда на  Олимпийской аллее</t>
  </si>
  <si>
    <t>Целевая субсидия МБУ "КБ" на приобретение лавочек, урн для установки по адресу: г.Домодедово, мкр-н Центральный, Каширское шоссе, д.27а, д.29</t>
  </si>
  <si>
    <t xml:space="preserve">Приобретение основных средств для благоустройства территории городского округа Домодедово </t>
  </si>
  <si>
    <t>09 2 2006</t>
  </si>
  <si>
    <t xml:space="preserve">05 </t>
  </si>
  <si>
    <t>Целевая субсидия на приобретение оборудования и инвентаря МАДОУ детский сад № 35 "Дельфин"</t>
  </si>
  <si>
    <t>Целевая субсидия на приобретение оборудования и инвентаря МАДОУ детский сад № 1</t>
  </si>
  <si>
    <t>Целевая субсидия на приобретение и установку ограждения территории детского сада для МАДОУ д/с № 12 "Березка"</t>
  </si>
  <si>
    <t>Целевая субсидия на приобретение и монтаж видеокамер для проведения ЕГЭ в муниципальных общеобразовательных учреждениях</t>
  </si>
  <si>
    <t>Целевая субсидия на приобретение основных средств для МАОУ Заборьевская СОШ</t>
  </si>
  <si>
    <t>Денежные взыскания (штрафы) за нарушение законодательства в области охраны окружающей среды</t>
  </si>
  <si>
    <t>1 16 25050 01 0000 140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</si>
  <si>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</si>
  <si>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2 02 03077 00 0000 151</t>
  </si>
  <si>
    <t>Субвенции бюджетам на модернизацию региональных систем общего образования</t>
  </si>
  <si>
    <t>2 02 03078 00 0000 151</t>
  </si>
  <si>
    <t>Иные бюджетные ассигнования</t>
  </si>
  <si>
    <t>800</t>
  </si>
  <si>
    <t>Специальные расходы</t>
  </si>
  <si>
    <t>880</t>
  </si>
  <si>
    <r>
      <t>Муниципальная программа</t>
    </r>
    <r>
      <rPr>
        <b/>
        <i/>
        <sz val="9"/>
        <rFont val="Times New Roman Cyr"/>
        <family val="0"/>
      </rPr>
      <t xml:space="preserve"> </t>
    </r>
    <r>
      <rPr>
        <i/>
        <sz val="9"/>
        <rFont val="Times New Roman Cyr"/>
        <family val="0"/>
      </rPr>
      <t>"Развитие и функционирование дорожно-транспортного комплекса городского округа Домодедово на 2014-2018 годы"</t>
    </r>
  </si>
  <si>
    <t>13 2 0000</t>
  </si>
  <si>
    <t>13 2 2512</t>
  </si>
  <si>
    <t>13 3 0000</t>
  </si>
  <si>
    <t>13 3 2520</t>
  </si>
  <si>
    <t>2 02 03007 04 0000 151</t>
  </si>
  <si>
    <t xml:space="preserve">ИНФОРМАЦИЯ О РАСХОДОВАНИИ СРЕДСТВ </t>
  </si>
  <si>
    <t>РЕЗЕРВНОГО ФОНДА АДМИНИСТРАЦИИ ГОРОДСКОГО ОКРУГА ДОМОДЕДОВО</t>
  </si>
  <si>
    <t>на 01 января 2016 года</t>
  </si>
  <si>
    <t>Годовой объем резервного фонда</t>
  </si>
  <si>
    <t>Уточненный годовой объем резервного фонда</t>
  </si>
  <si>
    <t>ФКР</t>
  </si>
  <si>
    <t>КЦСР</t>
  </si>
  <si>
    <t>КВР</t>
  </si>
  <si>
    <t>КОСГУ</t>
  </si>
  <si>
    <t>Направление расходования средств</t>
  </si>
  <si>
    <t>Наименование получателя средств</t>
  </si>
  <si>
    <t>Общий объем средств, выделенных из резервного фонда за отчетный период</t>
  </si>
  <si>
    <t>№ увед.</t>
  </si>
  <si>
    <t>Дата</t>
  </si>
  <si>
    <t>№ распо-ряжения</t>
  </si>
  <si>
    <t>0113</t>
  </si>
  <si>
    <t>290 10 4</t>
  </si>
  <si>
    <t>Приобретение подарков для поощрения военнослужащих воинских частей, дислоцированных на территории городского округа Домодедово, а также ветеранов воинской службы, в связи с празднованием Дня защитника Отечества</t>
  </si>
  <si>
    <t>002</t>
  </si>
  <si>
    <t>27.01.</t>
  </si>
  <si>
    <t>23.01.</t>
  </si>
  <si>
    <t>0100</t>
  </si>
  <si>
    <t>0000 00 00</t>
  </si>
  <si>
    <t>Итого по разделу 0100</t>
  </si>
  <si>
    <t>0702</t>
  </si>
  <si>
    <t xml:space="preserve">02 2 7121 </t>
  </si>
  <si>
    <t>622</t>
  </si>
  <si>
    <t>241 20 4</t>
  </si>
  <si>
    <t>Приобретение подарка для Муниципального автономного общеобразовательного учреждения Востряковская средняя общеобразовательная школа № 3 с углубленным изучением отдельных предметов в связи с празднованием 50-летия со дня образования учреждения</t>
  </si>
  <si>
    <t>012</t>
  </si>
  <si>
    <t>10.02.</t>
  </si>
  <si>
    <t>0700</t>
  </si>
  <si>
    <t>Итого по разделу 0700</t>
  </si>
  <si>
    <t>1003</t>
  </si>
  <si>
    <t>313</t>
  </si>
  <si>
    <t>262 10 4</t>
  </si>
  <si>
    <t>Оказание материальной помощи Умновой Татьяне Александровне, пострадавшей в результате пожара по адресу: г. Домодедово, мкр. Северный, ул. Ломоносова, д. 20б, кв. 20</t>
  </si>
  <si>
    <t>001</t>
  </si>
  <si>
    <t>13.01.</t>
  </si>
  <si>
    <t>Оказание материальной помощи Пименовой Кристине Владимировне, пострадавшей в результате пожара по адресу: г. Домодедово, мкр. Белые Столбы, ул. 1-я Московская, д. 44</t>
  </si>
  <si>
    <t>008</t>
  </si>
  <si>
    <t>06.02.</t>
  </si>
  <si>
    <t>29.01.</t>
  </si>
  <si>
    <t>01 1 5144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</si>
  <si>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</si>
  <si>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</si>
  <si>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</si>
  <si>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Подпрограмма "Развитие наружного оформления и социальной
рекламы в городском округе Домодедово на 2015-2018 годы"</t>
  </si>
  <si>
    <t>09 3 2520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</si>
  <si>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</si>
  <si>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</si>
  <si>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</si>
  <si>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</si>
  <si>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2 02 02008 04 0000 151</t>
  </si>
  <si>
    <t>2 02 02009 04 0000 151</t>
  </si>
  <si>
    <t>ГОСУДАРСТВЕННАЯ ПОШЛИНА</t>
  </si>
  <si>
    <t>017 01 06 06 00 04 0000 810</t>
  </si>
  <si>
    <t>Социальные выплаты гражданам, кроме публичных нормативных социальных выплат</t>
  </si>
  <si>
    <t>Прочие местные налоги и сборы</t>
  </si>
  <si>
    <t>1 09 07050 00 0000 110</t>
  </si>
  <si>
    <t xml:space="preserve">Налог на прибыль  организаций, зачислявшийся до 1 января 2005 года в местные бюджеты  </t>
  </si>
  <si>
    <t>1 09 01000 00 0000 110</t>
  </si>
  <si>
    <t>Прочие безвозмездные поступления в  бюджеты городских округов</t>
  </si>
  <si>
    <t>2 02 02089 04 0001 151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</si>
  <si>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</si>
  <si>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</si>
  <si>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</si>
  <si>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</si>
  <si>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</si>
  <si>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</si>
  <si>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1 16 25010 01 0000 140</t>
  </si>
  <si>
    <t>Денежные взыскания (штрафы) за нарушение законодательства об экологической экспертизе</t>
  </si>
  <si>
    <t>1 05 01010 01 0000 110</t>
  </si>
  <si>
    <t>1 05 01011 01 0000 110</t>
  </si>
  <si>
    <t>2 02 04012 00 0000 151</t>
  </si>
  <si>
    <t>Субсидии автономным учреждениям на выполнение муниципального задания</t>
  </si>
  <si>
    <t xml:space="preserve">Субсидии автономным учреждениям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</si>
  <si>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</si>
  <si>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</si>
  <si>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Объем привлечения средств в 2015 году (тыс.руб.)</t>
  </si>
  <si>
    <t>Подпрограмма "Содействие занятости населения городского округа Домодедово на 2014-2018 годы"</t>
  </si>
  <si>
    <t>Субсидия на реализацию мероприятий по содействию занятости населения на организацию временного трудоустройства несовершеннолетних граждан в возрасте от 14 до 18 лет</t>
  </si>
  <si>
    <t>10 2 0000</t>
  </si>
  <si>
    <t>10 2 2203</t>
  </si>
  <si>
    <t>Подпрограмма "Обеспечение деятельности Администрации городского округа Домодедово на 2014-2018 годы"</t>
  </si>
  <si>
    <t>11 6 2203</t>
  </si>
  <si>
    <t>Подпрограмма "Обеспечение деятельности МКУ "Домодедовская статистика" на 2014-2018 годы"</t>
  </si>
  <si>
    <t>11 9 0000</t>
  </si>
  <si>
    <t>11 9 2295</t>
  </si>
  <si>
    <t>11 9 2299</t>
  </si>
  <si>
    <t>11 Б 0000</t>
  </si>
  <si>
    <t>11 Б 2204</t>
  </si>
  <si>
    <t>2 02 03022 04 0000 151</t>
  </si>
  <si>
    <t>ВОЗВРАТ ОСТАТКОВ СУБСИДИЙ, СУБВЕНЦИЙ И ИНЫХ МЕЖБЮДЖЕТНЫХ ТРАНСФЕРТОВ, ИМЕЮЩИХ ЦЕЛЕВОЕ НАЗНАЧЕНИЕ, ПРОШЛЫХ ЛЕТ</t>
  </si>
  <si>
    <t>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</si>
  <si>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</si>
  <si>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Целевая субсидия на техническое оснащение согласно требованиям о региональном стандарте организации деятельности МБУ "МФЦ Домодедово"</t>
  </si>
  <si>
    <t>Целевая субсидия на закупку расходных материалов МБУ "МФЦ Домодедово"</t>
  </si>
  <si>
    <t>11 Г 2818</t>
  </si>
  <si>
    <t>11 Д 2295</t>
  </si>
  <si>
    <t>Целевая субсидия на приобретение  учебной мебели  и мебели для столовой для МАОУ Домодедовская СОШ № 1</t>
  </si>
  <si>
    <t>Федеральная целевая программа "Жилище", мероприятия подпрограммы "Обеспечение жильем молодых семей". Предоставление субсидий молодым семьям для приобретения жилья за счет средств, перечисляемых из федерального бюджета</t>
  </si>
  <si>
    <t>08 1 5020</t>
  </si>
  <si>
    <t>Государственная программа Московской области "Жилище", подпрограмма "Обеспечение жильем молодых семей". Предоставление субсидий молодым семьям для приобретения жилья за счет средств, перечисляемых из областного бюджета</t>
  </si>
  <si>
    <t>08 1 6020</t>
  </si>
  <si>
    <t>Целевая субсидия МБУ "КБ" на приобретение и посадку голубых елей в количестве 30 штук на  Олимпийской аллее</t>
  </si>
  <si>
    <t>Целевая субсидия МБУ "КБ" на приобретение и установку урн и скамеек в г.Домодедово, с.Вельяминово, ул.Центральная</t>
  </si>
  <si>
    <t>Целевая субсидия МБУ "КБ" на отделку фасадов сараев и вентиляционных сооружений на Олимпийской аллее</t>
  </si>
  <si>
    <t>Целевая субсидия МБУ "КБ" на приобретение и посадку голубых елей в количестве 67 штук на территории МАОУ Домодедовская СОШ №1</t>
  </si>
  <si>
    <t>Подпрограмма "Дополнительное образование, воспитание и психолого-социальное сопровождение детей городского округа Домодедово на 2015-2019 годы"</t>
  </si>
  <si>
    <r>
      <t xml:space="preserve">Подпрограмма "Общее образование городского округа Домодедово на 2015-2019 годы"    </t>
    </r>
    <r>
      <rPr>
        <i/>
        <sz val="9"/>
        <rFont val="Times New Roman Cyr"/>
        <family val="0"/>
      </rPr>
      <t xml:space="preserve"> Общее образование</t>
    </r>
  </si>
  <si>
    <t>Увеличение финансовых активов, являющихся иными источниками внутреннего финансирования дефицитов бюджетов</t>
  </si>
  <si>
    <t>Выплата материальной помощи некоторым категориям работников медицинских учреждений городского округа Домодедово*</t>
  </si>
  <si>
    <t xml:space="preserve">03 </t>
  </si>
  <si>
    <t>Обеспечение отдельных категорий граждан бесплатным зубопротезированием*</t>
  </si>
  <si>
    <t>08 0 0000</t>
  </si>
  <si>
    <t>08 2 0000</t>
  </si>
  <si>
    <t>08 3 0000</t>
  </si>
  <si>
    <t>Развитие и совершенствование комплексной системы оповещения населения при чрезвычайной ситуации</t>
  </si>
  <si>
    <t>Расходы на выплаты персоналу государственных (муниципальных) органов</t>
  </si>
  <si>
    <t>Примечание:</t>
  </si>
  <si>
    <t>* Публичные нормативные обязательства</t>
  </si>
  <si>
    <t>1 06 01020 04 0000 110</t>
  </si>
  <si>
    <t>Земельный налог</t>
  </si>
  <si>
    <t>Муниципальная программа "Предпринимательство городского округа Домодедово на 2014-2018годы"</t>
  </si>
  <si>
    <t xml:space="preserve"> </t>
  </si>
  <si>
    <t>Приобретение технических средств реабилитации</t>
  </si>
  <si>
    <t>Целевая субсидия на организацию и осуществление мероприятий в сфере молодежной политики</t>
  </si>
  <si>
    <t>Осуществление государственных полномочий в соответствии с Законом Московской области N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</si>
  <si>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99 0 6070</t>
  </si>
  <si>
    <t xml:space="preserve">Целевая субсидия МБУ "КБ" на ремонт путепровода в с.Кузьминское </t>
  </si>
  <si>
    <t>Подпрограмма "Обеспечение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2015-2018 годы"</t>
  </si>
  <si>
    <t>Дополнительные мероприятия по развитию жилищно-коммунального хозяйства и социально-культурной сферы</t>
  </si>
  <si>
    <t>99 0 0440</t>
  </si>
  <si>
    <t>Целевая субсидия на ремонт помещений в муниципальных общеобразовательных учреждениях</t>
  </si>
  <si>
    <t>Прочие субсидии бюджетам городских округов</t>
  </si>
  <si>
    <t>2 02 02999 04 0000 151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</si>
  <si>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</si>
  <si>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Подпрограмма "Развитие системы информирования населения городского округа Домодедово о деятельности органов муниципальной власти городского округа Домодедово на 2014-2018 годы"</t>
  </si>
  <si>
    <t>11 7 0000</t>
  </si>
  <si>
    <t>11 7 2295</t>
  </si>
  <si>
    <t>11 7 2299</t>
  </si>
  <si>
    <t>2 02 03070 00 0000 151</t>
  </si>
  <si>
    <t>Мероприятия по гражданской обороне</t>
  </si>
  <si>
    <t>04</t>
  </si>
  <si>
    <t>ОБРАЗОВАНИЕ</t>
  </si>
  <si>
    <t>Дошкольное образование</t>
  </si>
  <si>
    <t>Строительство детского сада на 190 мест в микрорайоне Авиационный, ул. Жуковского</t>
  </si>
  <si>
    <t>Строительство детского сада на 120 мест в микрорайоне "Центральный", ул. Школьная</t>
  </si>
  <si>
    <t>НАЦИОНАЛЬНАЯ ЭКОНОМИКА</t>
  </si>
  <si>
    <t>Связь и информатика</t>
  </si>
  <si>
    <t>2 02 02216 04 0000 151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</si>
  <si>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</si>
  <si>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</si>
  <si>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</si>
  <si>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</si>
  <si>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1 11 05074 04 0000 120
</t>
  </si>
  <si>
    <t>Целевая субсидия на закупку мебели  МБУ "МФЦ Домодедово"</t>
  </si>
  <si>
    <t>Целевая субсидия на закупку техники и оборудования  МБУ "МФЦ Домодедово"</t>
  </si>
  <si>
    <t>Целевая субсидия на оборудование здания МБУ "МФЦ Домодедово" наружной рекламой</t>
  </si>
  <si>
    <t>Оказание материальной помощи Ковтуненко Светлане Николаевне, пострадавшей в результате пожара по адресу: г. Домодедово, ул. Рабочая, д. 3, кв. 32</t>
  </si>
  <si>
    <t>034</t>
  </si>
  <si>
    <t>Оказание материальной помощи Черных Светлане Владимировне, пострадавшей в результате пожара по адресу: г. Домодедово, мкр. Северный, ул. Ломоносова, д. 20б, кв. 20</t>
  </si>
  <si>
    <t>038</t>
  </si>
  <si>
    <t>19.03.</t>
  </si>
  <si>
    <t>13.03.</t>
  </si>
  <si>
    <t>Оказание материальной помощи Парфенову Андрею Александровичу, пострадавшему в результате пожара по адресу: г. Домодедово, д. Пестово, д. 28а</t>
  </si>
  <si>
    <t>039</t>
  </si>
  <si>
    <t>1000</t>
  </si>
  <si>
    <t>Итого по разделу 1000</t>
  </si>
  <si>
    <t>ВСЕГО ЗА 1 КВАРТАЛ:</t>
  </si>
  <si>
    <t>0501</t>
  </si>
  <si>
    <t>243</t>
  </si>
  <si>
    <t>225 20 4</t>
  </si>
  <si>
    <t>Выполнение работ по ликвидации последствий взрыва в жилом доме по адресу: г. Домодедово, ул. Рабочая, д. 3</t>
  </si>
  <si>
    <t>055</t>
  </si>
  <si>
    <t>08.04.</t>
  </si>
  <si>
    <t>03.04.</t>
  </si>
  <si>
    <t>0500</t>
  </si>
  <si>
    <t>Итого по разделу 0500</t>
  </si>
  <si>
    <t xml:space="preserve">02 3 7123 </t>
  </si>
  <si>
    <t>612</t>
  </si>
  <si>
    <t>Приобретение подарка для муниципального бюджетного учсреждения дополнительного образования Дом десткого творческтва "Лира" в связи с празднованием 55-летия со дня образования учреждения</t>
  </si>
  <si>
    <t>086</t>
  </si>
  <si>
    <t>15.05.</t>
  </si>
  <si>
    <t>12.05.</t>
  </si>
  <si>
    <t>Приобретение подарка для муниципального бюджетного учсреждения дополнительного образования Детско-юношеская  спортивная школа "Олимп"в связи с празднованием 45-летия со дня образования учреждения</t>
  </si>
  <si>
    <t>087</t>
  </si>
  <si>
    <t>0701</t>
  </si>
  <si>
    <t xml:space="preserve">021 7120 </t>
  </si>
  <si>
    <t>Приобретение подарка для муниципального автономного дошкольного образовательного учреждения Детский сад общеразвивающего вида  № 12 "Березка" в связи с празднованием 50-летия со дня образования учреждения</t>
  </si>
  <si>
    <t>112</t>
  </si>
  <si>
    <t>15.06.</t>
  </si>
  <si>
    <t>08.06.</t>
  </si>
  <si>
    <t>Оказание материальной помощи Гущиной Анне Викторовне, пострадавшей в результате пожара по адресу: г. Домодедово, д. Одинцово, д. 49, кв. 1</t>
  </si>
  <si>
    <t>076</t>
  </si>
  <si>
    <t>28.04.</t>
  </si>
  <si>
    <t>23.04.</t>
  </si>
  <si>
    <t>Оказание материальной помощи Гущину Илье Викторовичу, пострадавшему в результате пожара по адресу: г. Домодедово, д. Одинцово, д. 49, кв. 1</t>
  </si>
  <si>
    <t>077</t>
  </si>
  <si>
    <t>Оказание материальной помощи Гущиной Анастасии Васильевне, пострадавшей в результате пожара по адресу: г. Домодедово, д. Одинцово, д. 49, кв. 1</t>
  </si>
  <si>
    <t>078</t>
  </si>
  <si>
    <t>Оказание материальной помощи Назаренко Елене Витальевне, пострадавшей в результате пожара по адресу: г. Домодедово, д. Одинцово, д. 49, кв. 1</t>
  </si>
  <si>
    <t>079</t>
  </si>
  <si>
    <t>29.04.</t>
  </si>
  <si>
    <t>27.04.</t>
  </si>
  <si>
    <t>Оказание материальной помощи Власову Андрею Михайловичу, пострадавшему в результате пожара по адресу: г. Домодедово, мкр. Центральный, ул. Подольский пр-д, д. 4, кв. 39</t>
  </si>
  <si>
    <t>084</t>
  </si>
  <si>
    <t>13.05.</t>
  </si>
  <si>
    <t>08.09.</t>
  </si>
  <si>
    <t>Оказание материальной помощи Варгиной Елене Николаевне, пострадавшей в результате пожара по адресу: г. Домодедово, мкр. Центральный, ул. Подольский пр-д, д. 4, кв. 39</t>
  </si>
  <si>
    <t>085</t>
  </si>
  <si>
    <t>Оказание материальной помощи Пуйке Юрию Андреевичу, пострадавшему в результате пожара по адресу: г. Домодедово, мкр. Белые Столбы, ул. Александра Невского, д. 11</t>
  </si>
  <si>
    <t>28.05.</t>
  </si>
  <si>
    <t>20.05.</t>
  </si>
  <si>
    <t>Оказание материальной помощи Цымбал Элеоноре Александровне, пострадавшей в результате пожара по адресу: г. Домодедово, с. Вельяминово, д. 23</t>
  </si>
  <si>
    <t>142</t>
  </si>
  <si>
    <t>29.06.</t>
  </si>
  <si>
    <t>24.06.</t>
  </si>
  <si>
    <t>ВСЕГО ЗА 2 КВАРТАЛ</t>
  </si>
  <si>
    <t>ВСЕГО ЗА 1 ПОЛУГОДИЕ</t>
  </si>
  <si>
    <t>Администрация городского округа*</t>
  </si>
  <si>
    <t>Управление образования*</t>
  </si>
  <si>
    <t>Оказание материальной помощи Хамидову Олегу Ариповичу, пострадавшему в результате пожара по адресу: г. Домодедово, мкр. Центральный, ул. Ленинская, д. 54</t>
  </si>
  <si>
    <t>150</t>
  </si>
  <si>
    <t>10.07.</t>
  </si>
  <si>
    <t>25.06.</t>
  </si>
  <si>
    <t>Оказание материальной помощи Ионовой Татьяне Вячеславовне, пострадавшей в результате пожара по адресу: г. Домодедово, мкр. Центральный, ул. Школьная, д. 13</t>
  </si>
  <si>
    <t>180</t>
  </si>
  <si>
    <t>11.08.</t>
  </si>
  <si>
    <t>05.08.</t>
  </si>
  <si>
    <t>Оказание материальной помощи Копыриной Надежде Ивановне, пострадавшей в результате пожара по адресу: г. Домодедово, мкр. Северный, ул. Городская, д. 1</t>
  </si>
  <si>
    <t>212</t>
  </si>
  <si>
    <t>15.09.</t>
  </si>
  <si>
    <t>10.09.</t>
  </si>
  <si>
    <t>Оказание материальной помощи Крючковой Любови Ивановне, пострадавшей в результате пожара по адресу: г. Домодедово, мкр. Авиационный, ул. Ильюшина, д. 8, кв. 10</t>
  </si>
  <si>
    <t>214</t>
  </si>
  <si>
    <t>17.09.</t>
  </si>
  <si>
    <t>14.09.</t>
  </si>
  <si>
    <t>Оказание материальной помощи Капыриной Надежде Павловне, пострадавшей в результате пожара по адресу: г. Домодедово, мкр. Северный, ул. Городская, д. 1</t>
  </si>
  <si>
    <t>221</t>
  </si>
  <si>
    <t>21.09.</t>
  </si>
  <si>
    <t>16.09.</t>
  </si>
  <si>
    <t>ВСЕГО ЗА 3 КВАРТАЛ</t>
  </si>
  <si>
    <t>ВСЕГО ЗА 9 МЕСЯЦЕВ</t>
  </si>
  <si>
    <t>Приобретение подарков для поощрения сотрудников полиции УМВД России по городскому округу Домодедово, Линейного управления МВД России в аэропорту Домодедово, Отдела вневедомственной охраны по городскому округу Домодедово, ВИПК МВД России, 7 батальона 2 полка ДПС (южный) ГИБДД ГУ МВД России по Московской области, Отдела УФМС России по Московской области по городскому округу Домодедово, Отделения № 1 межрайонного отдела контроля за пребыванием иностранных граждан № 5 УФМС России по Московской области, Филиала по г. Домодедово и Домодедовскому району ФКУ УИИ УФСИН России по Московской области в связи с празднованием «Дня сотрудника органов внутренних дел Российской Федерации».</t>
  </si>
  <si>
    <t>244</t>
  </si>
  <si>
    <t>20.10.</t>
  </si>
  <si>
    <t>15.10.</t>
  </si>
  <si>
    <t>Приобретение ценных подарков для поощрения офицерского состава войсковой части 41516, дислоцированной на территории городского округа Домодедово, в связи с празднованием "Дня войск связи Вооруженных сил Российской Федерации"</t>
  </si>
  <si>
    <t>250</t>
  </si>
  <si>
    <t>29.10.</t>
  </si>
  <si>
    <t>27.10.</t>
  </si>
  <si>
    <t>022 7121</t>
  </si>
  <si>
    <t>Приобретение подарка для муниципального автономного общеобразовательного учреждения Домодедовская средняя общеобразовательная школа  № 4 с углубленным изучением отдельных предметов в связи с празднованием 50-летия со дня образования учреждения</t>
  </si>
  <si>
    <t>264</t>
  </si>
  <si>
    <t>0227101</t>
  </si>
  <si>
    <t>321</t>
  </si>
  <si>
    <t>Частичная компенсация денежных затрат многодетных семей на приобретение школьной формы для посещения учебных занятий в муниципальных общеобразовательных учреждениях городского округа Домодедово</t>
  </si>
  <si>
    <t>327</t>
  </si>
  <si>
    <t>25.12.</t>
  </si>
  <si>
    <t>0801</t>
  </si>
  <si>
    <t xml:space="preserve">01 3 8440 </t>
  </si>
  <si>
    <t>241 10 4</t>
  </si>
  <si>
    <t>Замена участка водопровода в филиале "Востряковский ГДК" МБУ "ЦКД "Импульс"</t>
  </si>
  <si>
    <t>14.10.</t>
  </si>
  <si>
    <t>287</t>
  </si>
  <si>
    <t>12.10.</t>
  </si>
  <si>
    <t>0800</t>
  </si>
  <si>
    <t>Итого по разделу 0800</t>
  </si>
  <si>
    <t>Оказание материальной помощи Копыриной Наталье Владимировне, пострадавшей в результате пожара по адресу: г. Домодедово, мкр. Северный, ул. Городская, д. 1</t>
  </si>
  <si>
    <t>239</t>
  </si>
  <si>
    <t>Оказание материальной помощи Авдеевой Анастасии Викторовне, пострадавшей в результате пожара по адресу: г. Домодедово, мкр. Северный, ул. Городская, д. 1</t>
  </si>
  <si>
    <t>249</t>
  </si>
  <si>
    <t>28.10.</t>
  </si>
  <si>
    <t>26.10.</t>
  </si>
  <si>
    <t>Оказание материальной помощи Осипенко Марине Валентиновне, пострадавшей в результате пожара по адресу: г. Домодедово, мкр. Центральный, Подольский пр-д, д. 14, кв. 61</t>
  </si>
  <si>
    <t>277</t>
  </si>
  <si>
    <t>25.11.</t>
  </si>
  <si>
    <t>20.11.</t>
  </si>
  <si>
    <t>Оказание материальной помощи Федоровой Татьяне Васильевне, пострадавшей в результате пожара по адресу: г. Домодедово, мкр. Белые Столбы, ул. Победы, д. 45</t>
  </si>
  <si>
    <t>278</t>
  </si>
  <si>
    <t>Оказание материальной помощи Благову Сергею Николаевичу, пострадавшему в результате пожара по адресу: г. Домодедово, мкр. Востряково, ул. Одинцовская, д. 51</t>
  </si>
  <si>
    <t>279</t>
  </si>
  <si>
    <t>26.11.</t>
  </si>
  <si>
    <t>ВСЕГО ЗА 4 КВАРТАЛ</t>
  </si>
  <si>
    <t>ВСЕГО ЗА ГОД</t>
  </si>
  <si>
    <t>Приложение № 7</t>
  </si>
  <si>
    <t>1 09 04050 00 0000 110</t>
  </si>
  <si>
    <t>01 4 0000</t>
  </si>
  <si>
    <t>2 02 03069 04 0000 151</t>
  </si>
  <si>
    <t>Коммунальное хозяйство</t>
  </si>
  <si>
    <t>Субсидии бюджетным учреждениям</t>
  </si>
  <si>
    <t>014</t>
  </si>
  <si>
    <t>Погашение обязательств за счет прочих источников внутреннего финансирования дефицитов бюджетов</t>
  </si>
  <si>
    <t>Источники внутреннего финансирования дефицита бюджета</t>
  </si>
  <si>
    <t>08 4 0000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</si>
  <si>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</si>
  <si>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</si>
  <si>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2 02 03029 00 0000 151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</si>
  <si>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</si>
  <si>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Софинансирование расходов из областного бюджета реконструкцию тренировочной площадки на стадионе «Авангард», расположенному по адресу: Московская область, городской округ Домодедово, ул.2-я Коммунистическая, д.2 в рамках подпрограммы «Развитие физической культуры и спорта в Московской области»  государственной программы Московской области «Спорт Подмосковья</t>
  </si>
  <si>
    <t>Целевая субсидия на приобретение основных срежств (арочный металлодетектор, эллиптический тренажер) для МАУ "СК "Атлант"</t>
  </si>
  <si>
    <t>11 3 0000</t>
  </si>
  <si>
    <t>Подпрограмма "Обеспечение деятельности МБУ  "Многофункциональный центр предоставления государственных и муниципальных услуг" на 2014-2018 годы"</t>
  </si>
  <si>
    <t>Подпрограмма "Обеспечение деятельности комитета по управлению имуществом Администрации городского округа Домодедово Московской области на 2014-2018 годы"</t>
  </si>
  <si>
    <t>Подпрограмма "Развитие имущественного комплекса городского округа Домодедово, в том числе обеспечение государственной регистрации права  собственности в городском округе Домодедово; управление и распоряжение акциями хозяйственных обществ; приватизация имущества; управление и распоряжение земельными участками на 2014-2018 годы"</t>
  </si>
  <si>
    <t>02 2 6227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</si>
  <si>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сельской местности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</si>
  <si>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</si>
  <si>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</si>
  <si>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1 16 51020 02 0000 140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</si>
  <si>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</si>
  <si>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</si>
  <si>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</si>
  <si>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1 08 03010 01 0000 110</t>
  </si>
  <si>
    <t>Благоустройство</t>
  </si>
  <si>
    <t>Уличное освещение</t>
  </si>
  <si>
    <t xml:space="preserve">000 01 02 00 00 00 0000 000 </t>
  </si>
  <si>
    <t>Иные закупки товаров, работ, услуг для муниципальных нужд</t>
  </si>
  <si>
    <t>07 2 0000</t>
  </si>
  <si>
    <t>07 0 0000</t>
  </si>
  <si>
    <t>Мероприятия по экологии</t>
  </si>
  <si>
    <t>07 1 0000</t>
  </si>
  <si>
    <t>99 0 0000</t>
  </si>
  <si>
    <t>99 0 0500</t>
  </si>
  <si>
    <t>Субсидии негосударственным дошкольным образовательным учреждениям  на заработную плату и начисления</t>
  </si>
  <si>
    <t>11 Б 2295</t>
  </si>
  <si>
    <t>11 Г 0000</t>
  </si>
  <si>
    <t>07 1 2218</t>
  </si>
  <si>
    <t>07 1 2219</t>
  </si>
  <si>
    <t>07 2 2219</t>
  </si>
  <si>
    <t xml:space="preserve">от                          №  </t>
  </si>
  <si>
    <t>Подпрограмма "Общее образование городского округа Домодедово на 2015-2019 годы"</t>
  </si>
  <si>
    <r>
      <t xml:space="preserve">Подпрограмма "Общее образование городского округа Домодедово на 2015-2019 годы"    </t>
    </r>
    <r>
      <rPr>
        <i/>
        <sz val="9"/>
        <rFont val="Times New Roman Cyr"/>
        <family val="0"/>
      </rPr>
      <t xml:space="preserve"> Школы-интернаты</t>
    </r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</si>
  <si>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</si>
  <si>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</si>
  <si>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</si>
  <si>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</si>
  <si>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</si>
  <si>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1 11 01000 00 0000 120</t>
  </si>
  <si>
    <t>1 11 01040 04 0000 120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</si>
  <si>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</si>
  <si>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</si>
  <si>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</si>
  <si>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12 0 0000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</si>
  <si>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</si>
  <si>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</si>
  <si>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2 02 02052 04 0000 151</t>
  </si>
  <si>
    <t>2 02 02052 00 0000 151</t>
  </si>
  <si>
    <t>02 2 6244</t>
  </si>
  <si>
    <t>Выплата грантов Губернатора Московской области лучшим общеобразовательным организациям в Московской области</t>
  </si>
  <si>
    <t>12 2 0000</t>
  </si>
  <si>
    <t>12 2 2005</t>
  </si>
  <si>
    <t>Плата за негативное воздействие на окружающую среду</t>
  </si>
  <si>
    <t>2 02 03070 04 0000 151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</si>
  <si>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</si>
  <si>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</si>
  <si>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</si>
  <si>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Целевая субсидия на проведение мероприятий в области спорта,  физической культуры, туризма</t>
  </si>
  <si>
    <t>Счетная палата городского округа Домодедово Московской области</t>
  </si>
  <si>
    <t>Молодежная политика и оздоровление детей</t>
  </si>
  <si>
    <t>1 11 00000 00 0000 000</t>
  </si>
  <si>
    <t>Общее образование</t>
  </si>
  <si>
    <t>Создание и развитие сети многофункциональных центров предоставления государственных и муниципальных услуг</t>
  </si>
  <si>
    <t>11 2 5395</t>
  </si>
  <si>
    <t>Подпрограмма "Обеспечение жильем детей-сирот и детей , оставшихся без попечения родителей, а также лиц из их числа" на 2014-2018 годы"</t>
  </si>
  <si>
    <t>Субсидии юридическим лицам (кроме государственных учреждений) и физическим лицам - производителям товаров, работ и услуг на возмещение затрат субъектам малого и среднего предпринимательства</t>
  </si>
  <si>
    <t>Строительство очистных сооружений микрорайон "Востряково"</t>
  </si>
  <si>
    <t>Строительство очистных сооружений микрорайон "Западный",  ГПЗ "Константиново"</t>
  </si>
  <si>
    <t>Реконструкция котельных: микрорайон "Западный" , котельная "КШФ"; микрорайон "Северный", котельная "Речная"</t>
  </si>
  <si>
    <t>2 02 02088 04 0001 151</t>
  </si>
  <si>
    <t>Земельный налог (по обязательствам, возникшим до 1 января 2006 года)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</si>
  <si>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</si>
  <si>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</si>
  <si>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</si>
  <si>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13</t>
  </si>
  <si>
    <t xml:space="preserve"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области. 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</si>
  <si>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медицинской экспертизы)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</si>
  <si>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</si>
  <si>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</si>
  <si>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Инженерные изыскания и подготовка данных для проектирования объекта "Блок основной общеобразовательной школы на 240 учащихся, ул.Советская</t>
  </si>
  <si>
    <t>Целевая субсидия на приобретение кухонного оборудования для МБУ ДО "Центр содействия семейному устройству детей" им. Талалихина</t>
  </si>
  <si>
    <t>Целевая субсидия на установку автономных систем оповещения и управления эвакуации в бюджетных общеобразовательных учреждениях</t>
  </si>
  <si>
    <t>Целевая субсидия на установку автономных систем оповещения и управления эвакуации в МБУ ДО ДМЦ "Альбатрос"</t>
  </si>
  <si>
    <t>Целевая субсидия на установку автономных систем оповещения и управления эвакуации в автономных общеобразовательных учреждениях</t>
  </si>
  <si>
    <t>Целевая субсидия на составление ПСД, заменуучастка водопровода в филиале "Востряковский ГДК" МБУ "ЦКД "Импульс"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</si>
  <si>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</si>
  <si>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</si>
  <si>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024</t>
  </si>
  <si>
    <t>1 09 00000 00 0000 000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</si>
  <si>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</si>
  <si>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</si>
  <si>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Целевая субсидия на закупку оргтехники, оборудования и расходных материалов МБУ "МФЦ Домодедово"</t>
  </si>
  <si>
    <t>Софинансирование расходов за счет средств субсидии из областного бюджета на организацию деятельности МБУ «МФЦ Домодедово»  в рамках подпрограммы «Снижение административных барьеров,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государственной программы Московской области «Эффективная власть»</t>
  </si>
  <si>
    <t>Подпрограмма "Обеспечение деятельности МКУ "Дирекция единого заказчика" на 2015-2018 годы"</t>
  </si>
  <si>
    <t>11 Д 0000</t>
  </si>
  <si>
    <t>11 Д 2299</t>
  </si>
  <si>
    <t>Софинансирование расходов за счет средств местного бюджета создания системы технологического обеспечения региональной общественной безопасности и оперативного управления "Безопасный регион" в рамках подпрограммы "Профилактика преступлений и иных правонарушений" государственной программы Московской области "Безопасность Подмосковья"</t>
  </si>
  <si>
    <t>07 5 2503</t>
  </si>
  <si>
    <t>Софинансирование расходов за счет средств местного бюджета  подпрограммы "Дороги Подмосковья" Государственной программы Московской области "Развитие и функционирование дорожно-транспортного комплекса"</t>
  </si>
  <si>
    <t>13 3 2521</t>
  </si>
  <si>
    <t>Установка узлов учета тепловой энергии в школьных котельных д.Павловское, с.Домодедово, мкр-н Барыбино г. Домодедово</t>
  </si>
  <si>
    <t>Целевая субсидия МБУ "КБ" на изготовление и монтаж ограждения детской площадки на  Олимпийской аллее</t>
  </si>
  <si>
    <t>2 02 04025 04 0000 151</t>
  </si>
  <si>
    <t>Плата за выбросы загрязняющих веществ в атмосферный воздух стационарными объектами</t>
  </si>
  <si>
    <t>1 12 01 010 01 0000 120</t>
  </si>
  <si>
    <t>Плата за выбросы загрязняющих веществ в атмосферный воздух передвижными объектами</t>
  </si>
  <si>
    <t>1 12 01 020 01 0000 120</t>
  </si>
  <si>
    <t>Плата за сбросы загрязняющих веществ в водные объекты</t>
  </si>
  <si>
    <t>1 12 01 030 01 0000 120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</si>
  <si>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</si>
  <si>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</si>
  <si>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018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</si>
  <si>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</si>
  <si>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</si>
  <si>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1 17 01040 04 0000 180</t>
  </si>
  <si>
    <t>НАЛОГОВЫЕ И НЕНАЛОГОВЫЕ ДОХОДЫ</t>
  </si>
  <si>
    <t xml:space="preserve">Наименование </t>
  </si>
  <si>
    <t>92 0 0000</t>
  </si>
  <si>
    <t>95 0 0000</t>
  </si>
  <si>
    <t>1 14 02043 04 0000 410</t>
  </si>
  <si>
    <t>03 1 0000</t>
  </si>
  <si>
    <t>Иные межбюджетные трансферты</t>
  </si>
  <si>
    <t>2 02 04000 00 0000 151</t>
  </si>
  <si>
    <t>Налог на доходы физических лиц</t>
  </si>
  <si>
    <t>1 01 02000 01 0000 110</t>
  </si>
  <si>
    <t>Выплата единовременной материальной помощи гражданам пострадавшим от радиационных воздействий*</t>
  </si>
  <si>
    <t>Выплата единовременной материальной помощи бывшим несовершеннолетним узникам концлагерей*</t>
  </si>
  <si>
    <t>Субсидии юридическим лицам (кроме государственных учреждений) и физическим лицам - производителям товаров, работ и услуг на поддержку субъектов малого и среднего предпринимательства</t>
  </si>
  <si>
    <t>01 3 0000</t>
  </si>
  <si>
    <t>Муниципальная программа "Архитектура и градостроительство городского округа Домодедово на 2014-2018 годы"</t>
  </si>
  <si>
    <t>Подпрограмма "Проектно-информационное обеспечение градостроительной деятельности городского округа Домодедово на 2014-2018 годы"</t>
  </si>
  <si>
    <t>14 1 2099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</si>
  <si>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</si>
  <si>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информационно-коммуникационных технологий городского округа Домодедово на 2014-2018 годы"</t>
  </si>
  <si>
    <t>11 1 2204</t>
  </si>
  <si>
    <t>11 6 0000</t>
  </si>
  <si>
    <t>11 6 2200</t>
  </si>
  <si>
    <t>Подпрограмма "Развитие муниципальной службы городского округа Домодедово на 2015-2018 годы"</t>
  </si>
  <si>
    <t>11 3 2204</t>
  </si>
  <si>
    <t>11 6 2204</t>
  </si>
  <si>
    <t>11 6 2295</t>
  </si>
  <si>
    <t>11 6 6142</t>
  </si>
  <si>
    <t>11 6 6068</t>
  </si>
  <si>
    <t>11 1 6142</t>
  </si>
  <si>
    <t>11 1 6068</t>
  </si>
  <si>
    <t>Подпрограмма "Развитие архивного дела на 2015-2018 годы"</t>
  </si>
  <si>
    <t>11 8 0000</t>
  </si>
  <si>
    <t>11 8 6069</t>
  </si>
  <si>
    <t>Прочие межбюджетные трансферты, передаваемые бюджетам городских округов</t>
  </si>
  <si>
    <t>2 02 02085 04 0000 151</t>
  </si>
  <si>
    <t>14 1 0000</t>
  </si>
  <si>
    <t>Периодические издания, учрежденные органами законодательной и исполнительной власти</t>
  </si>
  <si>
    <t>Иные источники внутреннего финансирования дефицитов бюджетов</t>
  </si>
  <si>
    <t>Целевая субсидия МБУ "КБ" на приобретение и установку информационных стендов, контейнерных площадок, контейнеров, указателей, урн, скамеек на кладбищах городского округа Домодедово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</si>
  <si>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</si>
  <si>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02 1 6213</t>
  </si>
  <si>
    <t>Софинансирование расходов на участие в государственной программе Московской области "Образование Подмосковья на 2014-2018 годы" на закупку оборудования для муниципальных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</si>
  <si>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Целевая субсидия на выполнение электромонтажных работ в помещениях МАДОУ детский сад № 39 "Рябинка"</t>
  </si>
  <si>
    <t xml:space="preserve">Целевая субсидия на приобретение подарка для муниципального автономного дошкольного образовательного учреждения детского сада общеразвивающего вида №12 "Березка" в связи с 50-летием со дня образования учреждения </t>
  </si>
  <si>
    <t>Поддержка реализации мероприятий федеральной целевой программы развития образования на 2011-2015 годы по направлению "распространение на всей территории Российской Федерации современных моделей успешной социализации детей"</t>
  </si>
  <si>
    <t>02 2 6241</t>
  </si>
  <si>
    <t>Целевая субсидия на приобретение учебной мебели для МАОУ Домодедовская гимназия № 5</t>
  </si>
  <si>
    <t>Целевая субсидия на ремонт вентиляционной системы в  МАОУ Домодедовская гимназия № 5</t>
  </si>
  <si>
    <t>Целевая субсидия на ремонт помещений в МАОУ Повадинская СОШ</t>
  </si>
  <si>
    <t>Целевая субсидия на приобретение и установку приборов учета энергетических ресурсов в МАОУ Белостолбовская СОШ</t>
  </si>
  <si>
    <t>Софинансирование расходов на участие в государственной программе Московской области "Образование Подмосковья на 2014-2018 годы" на закупку оборудования для муниципальных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</si>
  <si>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 xml:space="preserve">Целевая субсидия на приобретение подарка для МБУ дополнительного образования "Детско-юношеская спортивная школа "Олимп" в связи с 45-летием со дня образования учреждения </t>
  </si>
  <si>
    <t xml:space="preserve">Целевая субсидия на приобретение подарка для МБУ дополнительного образования "Дом детского творчества "Лира" в связи с 55-летием со дня образования учреждения 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</si>
  <si>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
</t>
  </si>
  <si>
    <t>Подпрограмма "Социальная поддержка граждан пожилого возраста, ветеранов, инвалидов и других категорий граждан городского округа Домодедово на 2014-2018 годы"</t>
  </si>
  <si>
    <t>Субсидии бюджетным  учреждениям</t>
  </si>
  <si>
    <t>Целевая субсидия на благоустройство спортивных площадок в МАОУ Домодедовская СОШ № 1, МАОУ Домодедовский лицей № 3, МАОУ Повадинская СОШ</t>
  </si>
  <si>
    <t>Целевая субсидия на устройство мягкого покрытия спортивной площадки в МАОУ Доомдедовская СОШ № 6</t>
  </si>
  <si>
    <t xml:space="preserve">Целевая субсидия на приобретение подарка для МАОУ "Востряковская средняя образовательная школа № 3 с УИОП в связи с 50-летием со дня образования учреждения </t>
  </si>
  <si>
    <t>Целевая субсидия на монтаж видеонаблюдения в МБСКОУ Кутузовская общеобразовательная школа-интернат VIII вида</t>
  </si>
  <si>
    <t xml:space="preserve">Целевая субсидия на монтаж видеонаблюдения в МБОУ ДОД ДМЦ "Альбатрос", МБОУ ДОД ДЮСШ "ОЛИМП" </t>
  </si>
  <si>
    <t>Целевая субсидия на мероприятия по организации оздоровительной кампании детей</t>
  </si>
  <si>
    <t>Целевая субсидия на на приобретение материалов и оборудования МБУ "ЭРИС"</t>
  </si>
  <si>
    <t>Целевая субсидия на приобретение автомобилей "Газель" МБУ "ЭРИС"</t>
  </si>
  <si>
    <t>Обеспечение жильем отдельных категорий граждан, установленных ФЗ от 12.01.1995 №5-ФЗ "О ветеранах" и ФЗ от 24.11.1995 №181-ФЗ "О социальной защите инвалидов в Российской Федерации" за счет средств местного бюджета</t>
  </si>
  <si>
    <t>08 3 2135</t>
  </si>
  <si>
    <t>Подпрограмма "Оказание материальной поддержки работникам социальной сферы в погашении процентов по ипотечному кредиту на 2015-2018 годы"</t>
  </si>
  <si>
    <t>08 6 2508</t>
  </si>
  <si>
    <t>1 05 01022 01 0000 110</t>
  </si>
  <si>
    <t>Иные закупки  товаров, работ и  услуг для муниципальных нужд</t>
  </si>
  <si>
    <t>1 13 00000 00 0000 000</t>
  </si>
  <si>
    <t>1 13 02000 00 0000 130</t>
  </si>
  <si>
    <t>630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</si>
  <si>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</si>
  <si>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</si>
  <si>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</si>
  <si>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Подпрограмма "Обеспечение мероприятий гражданской обороны на территории городского округа Домодедово на 2014-2018 годы"</t>
  </si>
  <si>
    <t>07 4 0000</t>
  </si>
  <si>
    <t>07 4 2219</t>
  </si>
  <si>
    <t>07 3 0000</t>
  </si>
  <si>
    <t>07 3 2247</t>
  </si>
  <si>
    <t>Субсидии бюджетам городских округов на обеспечение жильем молодых семей</t>
  </si>
  <si>
    <t>2 02 02077 00 0000 151</t>
  </si>
  <si>
    <t>2 02 03024 00 0000 151</t>
  </si>
  <si>
    <t>Субвенции бюджетам городских округов на выполнение передаваемых полномочий субъектов РФ</t>
  </si>
  <si>
    <t>14</t>
  </si>
  <si>
    <t>ВСЕГО:</t>
  </si>
  <si>
    <t>11 1 2099</t>
  </si>
  <si>
    <t>Мероприятия по обеспечению жильем молодых семей и молодых специалистов, проживающих и работающих в сельской местности, за счет средств  бюджета городского округа</t>
  </si>
  <si>
    <t>1 16 06000 01 0000 140</t>
  </si>
  <si>
    <t>Денежные взыскания (штрафы) за нарушение бюджетного законодательства РФ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</si>
  <si>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</si>
  <si>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</si>
  <si>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</si>
  <si>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Подпрограмма "Улучшение жилищных условий семей, имеющих семь и более детей на 2014-2018 годы"</t>
  </si>
  <si>
    <t>120</t>
  </si>
  <si>
    <t>Налоги на имущество</t>
  </si>
  <si>
    <t>Субсидии бюджетным учреждениям на выполнение муниципального задания</t>
  </si>
  <si>
    <t xml:space="preserve">Субсидии бюджетным учреждениям 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</si>
  <si>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</si>
  <si>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</si>
  <si>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</si>
  <si>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</si>
  <si>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</si>
  <si>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Уменьшение остатков средств финансовых резервов бюджетов, размещенных в ценные бумаги</t>
  </si>
  <si>
    <t>017 01 05 01 02 04 0000 620</t>
  </si>
  <si>
    <t>Подпрограмма "Дошкольное образование городского округа Домодедово на 2015-2019 годы"</t>
  </si>
  <si>
    <t>02 1 6211</t>
  </si>
  <si>
    <t>02 1 6212</t>
  </si>
  <si>
    <t>02 1 7120</t>
  </si>
  <si>
    <t>02 2 6220</t>
  </si>
  <si>
    <t>02 3 0000</t>
  </si>
  <si>
    <t>02 2 6222</t>
  </si>
  <si>
    <t>02 2 6223</t>
  </si>
  <si>
    <t>Муниципальная программа "Культура городского округа Домодедово на 2014-2018 годы"</t>
  </si>
  <si>
    <t>Доходы от продажи земельных участков, государственная собственность на которые не разграничена</t>
  </si>
  <si>
    <t>Охрана семьи и детства</t>
  </si>
  <si>
    <t>Муниципальная программа "Эффективная власть на 2014-2018 год"</t>
  </si>
  <si>
    <t>Муниципальная программа "Безопасность населения городского округа Домодедово на 2014-2018 годы"</t>
  </si>
  <si>
    <t>Подпрограмма "Снижение рисков, смягчение последствий возникновения чрезвычайных ситуаций природного и техногенного характера на территории городского округа Домодедово на 2014-2018 годы"</t>
  </si>
  <si>
    <t>Подпрограмма "Развитие и совершенствование системы оповещения и информирования населения городского округа Домодедово на 2014-2018 годы"</t>
  </si>
  <si>
    <t>Муниципальная программа "Информационная и внутренняя политика городского округа Домодедово на 2014-2018 годы"</t>
  </si>
  <si>
    <t>1 13 01000 00 0000 130</t>
  </si>
  <si>
    <t>1 14 02040 04 0000 410</t>
  </si>
  <si>
    <t>10 5 2004</t>
  </si>
  <si>
    <t>100</t>
  </si>
  <si>
    <t>Реализация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за счет средств федерального бюджета</t>
  </si>
  <si>
    <t>10 1 5064</t>
  </si>
  <si>
    <t>Приобретение блочно-модульной котельной котельной МУП городского округа Домодедово "Теплосеть"</t>
  </si>
  <si>
    <t>Целевая субсидия на проведение ремонта входных групп и туалетов в базовых общеобразовательных учреждениях, в которых созданы условия для инклюзивного образования детей-инвалидов (МАОУ Домодедовский лицей № 3)</t>
  </si>
  <si>
    <t>Целевая субсидия на проведение ремонта входных групп и туалетов в базовых общеобразовательных учреждениях, в которых созданы условия для инклюзивного образования детей-инвалидов (МАОУ Домодедовская СОШ № 7)</t>
  </si>
  <si>
    <t>Целевая субсидия на приобретение подарка для МАОУ Домодедовоская СОШ № 4 с УИОП  в связи с празднованием 50-летия со дня образования учреждения</t>
  </si>
  <si>
    <t>Приобретение учебников и питьевых фонтанчиков для МАОУ Домодедовская СОШ № 9</t>
  </si>
  <si>
    <t>Целевая субсидия на приобретение мебели для учебных кабинетов, мебели для столовой, жалюзей и рулонных штор</t>
  </si>
  <si>
    <t>Целевая субсидия на приобретение интерактивной доски, компьютерной и оргтехники для МБОУ дополнительного образования детей "Дом детского творчества "Лира"</t>
  </si>
  <si>
    <t xml:space="preserve">Целевая субсидия на приобретение спортивного инвентаря, оборудования, компьютерной и оргтехники для  МБОУ дополнительного образования "Детско-юношеская спортивная школа "Олимп" </t>
  </si>
  <si>
    <t>Целевая субсидия на приобретение интерактивной доски, компьютерной и оргтехники для МАОУ Домодедовская СОШ № 4; МАОУ Востряковская СОШ № 3; МАОУ Белостолбовская СОШ; МАОУ Барыбинская СОШ, МАОУ Гальчинская СОШ</t>
  </si>
  <si>
    <t>Мероприятия государственной программы Российской Федерации "Доступная среда" на 2011-2015 годы</t>
  </si>
  <si>
    <t>03 2 5027</t>
  </si>
  <si>
    <t xml:space="preserve">Исполнение расходов бюджета городского округа </t>
  </si>
  <si>
    <t>в разрезе ведомственной структуры расходов бюджета городского Домодедово округа за 2015 год</t>
  </si>
  <si>
    <t>Приложение № 4</t>
  </si>
  <si>
    <t>Целевая субсидия на приобретение и установку оборудования, выполнение работ для обеспечения беспрепятственного доступа маломобильных групп населения к филиалу МБУ "ЦКД "Импульс" ("ГДКиС "Мир")</t>
  </si>
  <si>
    <t>Целевая субсидия на приобретение и установку расходных материалов и оборудования для системы видеонаблюдения в МБУ "ЦКД "Импульс" (филиал "ГДК "Авиатор")</t>
  </si>
  <si>
    <t>Целевая субсидия на приобретение и установку расходных материалов и оборудования для системы видеонаблюдения в МБУ "ЦКД "Импульс" (филиал "ГДКС "Мир")</t>
  </si>
  <si>
    <t>08 4 6082</t>
  </si>
  <si>
    <t>Целевая субсидия МБУ "Редакция газеты Призыв" на приобретение видеоконтента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</si>
  <si>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</si>
  <si>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03 2 0000</t>
  </si>
  <si>
    <t>03 2 6222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</si>
  <si>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</si>
  <si>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</t>
  </si>
  <si>
    <t>Проведение подписки на периодические печатные издания газеты "Призыв" и "Ежедневные новости. Подмосковье" инвалидам и семьям с детьми-инвалидами, состоящим на учете в Домодедовском управлении социальной защиты населения Министерства социальной защиты населения Московской области, малоимущим, одиноко проживающим гражданам, имеющим место жительства в г.о.Домодедово*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</si>
  <si>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</si>
  <si>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</si>
  <si>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Организация предоставления гржданам Российской Федерации, имеющим место жительства в Московской области, субсидий на оплату жилого помещения и коммунальных услуг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</si>
  <si>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</si>
  <si>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Контрольно-счетные органы муниципальных образований</t>
  </si>
  <si>
    <t>Мероприятия по обеспечению безопасности людей на водных объектах</t>
  </si>
  <si>
    <t>Мероприятия по снижению рисков и смягчению последствий ЧС</t>
  </si>
  <si>
    <t>Доплаты к пенсиям государственных служащих субъектов РФ и муниципальных служащих*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</si>
  <si>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</si>
  <si>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</si>
  <si>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2 02 00000 00 0000 000</t>
  </si>
  <si>
    <t>Субсидии автономным учреждениям</t>
  </si>
  <si>
    <t>620</t>
  </si>
  <si>
    <t>621</t>
  </si>
  <si>
    <t>1 01 02030 01 0000 110</t>
  </si>
  <si>
    <t>Выплата единовременной материальной помощи участникам обороны Ленинграда*</t>
  </si>
  <si>
    <t>000 01 06 04 00 00 0000 000</t>
  </si>
  <si>
    <t>2 02 04999 00 0000 151</t>
  </si>
  <si>
    <t>09 2 0000</t>
  </si>
  <si>
    <t>2 02 03026 04 0000 151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</si>
  <si>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</si>
  <si>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</si>
  <si>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Субвенции местным бюджетам на выполнение передаваемых полномочий субъектов РФ</t>
  </si>
  <si>
    <t>1 05 01050 01 0000 110</t>
  </si>
  <si>
    <t>1 05 03010 01 0000 110</t>
  </si>
  <si>
    <t>1 05 04000 02 0000 110</t>
  </si>
  <si>
    <t>Субвенции бюджетам субъектов РФ и муниципальных образований</t>
  </si>
  <si>
    <t>Код ФКР</t>
  </si>
  <si>
    <t>Резервные фонды</t>
  </si>
  <si>
    <t>Пособия, компенсации, меры социальной поддержки по публичным нормативным обязательствам</t>
  </si>
  <si>
    <t>730</t>
  </si>
  <si>
    <t>2 02 03078 04 0000 151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</si>
  <si>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</si>
  <si>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1 16 30013 01 0000 140</t>
  </si>
  <si>
    <t>Прочие денежные взыскания (штрафы) за правонарушения в области дорожного движения</t>
  </si>
  <si>
    <t>1 16 30030 01 0000 140</t>
  </si>
  <si>
    <t>Целевая субсидия на закупку техники и оборудования для защиты персональных данных МБУ "МФЦ Домодедово"</t>
  </si>
  <si>
    <t>Целевая субсидия на приобретение USB-ключей и сертификатов электронной подписи для МБУ "МФЦ Домодедово"</t>
  </si>
  <si>
    <t>Бюджетные инвестиции</t>
  </si>
  <si>
    <t>410</t>
  </si>
  <si>
    <t>Специальные расходы на 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</si>
  <si>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</si>
  <si>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</si>
  <si>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</si>
  <si>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</si>
  <si>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</si>
  <si>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</si>
  <si>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</si>
  <si>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</si>
  <si>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</si>
  <si>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</si>
  <si>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</si>
  <si>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Целевая субсидия на ремонт элементов кровли, замену заполнения оконных и дверных проемов в ГДК "Авиатор" (филиал МБУ "ЦКД "Импульс")</t>
  </si>
  <si>
    <t>Целевая субсидия на приобретение и установку оборудования, способствующего повышению доступности объектов культуры</t>
  </si>
  <si>
    <t>Целевая субсидия на составление ПСД, разработка проекта перепланировки нежилого помещения, расположенного по адресу: г. Домодедово, поселок санатория "Подмосковье", д.9,  МБУ "ЦФКС "Горизонт"</t>
  </si>
  <si>
    <t>Целевая субсидия на софинансирование мероприятий подпрограммы "Развитие физической культуры и спорта в Московской области" государственной программы Московской области "Спорт Подмосковья" на приобретение оборудования для оснащения плоскостных спортивных сооружений в муниципальных образованиях Московской области</t>
  </si>
  <si>
    <t>Целевая субсидия на софинансирование мероприятий подпрограммы "Развитие физической культуры и спорта в Московской области" государственной программы Московской области "Спорт Подмосковья" на капитальный ремонт плоскостных спортивных сооружений в муниципальных образованиях Московской области</t>
  </si>
  <si>
    <t>Целевая субсидия на погашение кредиторской задолженности по налогам  МБУ "Редакция газеты Призыв"</t>
  </si>
  <si>
    <t>Целевая субсидия МБУ "Редакция газеты Призыв" на приобретение компьютеров и комплектующих к ним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</si>
  <si>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</si>
  <si>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ДЕФИЦИТА  БЮДЖЕТА ГОРОДСКОГО ОКРУГА ДОМОДЕДОВО за 2015 ГОД</t>
  </si>
  <si>
    <t>Приложение № 5</t>
  </si>
  <si>
    <t>1. Муниципальные займы, выпущенные городским округом</t>
  </si>
  <si>
    <t xml:space="preserve">Форма долгового обязательства </t>
  </si>
  <si>
    <t>Реквизиты и дата привлечения</t>
  </si>
  <si>
    <t xml:space="preserve">Сумма привлеченных средств </t>
  </si>
  <si>
    <t>Процентрая ставка в %</t>
  </si>
  <si>
    <t>Срок погашения</t>
  </si>
  <si>
    <t>Сумма долговых обязательств</t>
  </si>
  <si>
    <t>Всего:</t>
  </si>
  <si>
    <t>погашение основного долга</t>
  </si>
  <si>
    <t>выплата % и другие расходы по обслуживанию долга</t>
  </si>
  <si>
    <t xml:space="preserve">в том числе </t>
  </si>
  <si>
    <t xml:space="preserve">погашение основного долга </t>
  </si>
  <si>
    <t>основной долг</t>
  </si>
  <si>
    <t>% и другие расходы по обслуживанию долга</t>
  </si>
  <si>
    <t xml:space="preserve">основного долга </t>
  </si>
  <si>
    <t>-</t>
  </si>
  <si>
    <t>2. Кредиты, полученные муниципальным образованием</t>
  </si>
  <si>
    <t xml:space="preserve"> -</t>
  </si>
  <si>
    <t>Всего кредитов:</t>
  </si>
  <si>
    <t>Утвержденный план</t>
  </si>
  <si>
    <t>Уточненный план</t>
  </si>
  <si>
    <t>Исполнено</t>
  </si>
  <si>
    <t>Процент исполнения</t>
  </si>
  <si>
    <t>к утвержденному плану, %</t>
  </si>
  <si>
    <t>к уточненному плану, %</t>
  </si>
  <si>
    <t xml:space="preserve">Исполнение расходов бюджета городского округа за 2015 год </t>
  </si>
  <si>
    <t xml:space="preserve">Утвержденный план </t>
  </si>
  <si>
    <t xml:space="preserve">ПО КОДАМ КЛАССИФИКАЦИИ ИСТОЧНИКОВ </t>
  </si>
  <si>
    <t>ФИНАНСИРОВАНИЯ ДЕФИЦИТОВ БЮДЖЕТОВ</t>
  </si>
  <si>
    <t>Код бюджетной классификации</t>
  </si>
  <si>
    <t>Наименование показателя</t>
  </si>
  <si>
    <t>администратора источника финансирования</t>
  </si>
  <si>
    <t>источника финансирования</t>
  </si>
  <si>
    <t>01 05 00 00 00 0000 000</t>
  </si>
  <si>
    <t>01 05 02 00 00 0000 500</t>
  </si>
  <si>
    <t>01 05 02 00 00 0000 600</t>
  </si>
  <si>
    <t>ДЕФИЦИТА  БЮДЖЕТА ГОРОДСКОГО ОКРУГА ЗА 2015 ГОД</t>
  </si>
  <si>
    <t>03 0 0000</t>
  </si>
  <si>
    <t>Рз</t>
  </si>
  <si>
    <t>ПР</t>
  </si>
  <si>
    <t>ЦСР</t>
  </si>
  <si>
    <t>ВР</t>
  </si>
  <si>
    <t>01</t>
  </si>
  <si>
    <t>000 01 06 05 00 00 0000 000</t>
  </si>
  <si>
    <t>Администрация городского округа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</si>
  <si>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</si>
  <si>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</si>
  <si>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Субвенции бюджетам городских округов на модернизацию региональных систем общего образования</t>
  </si>
  <si>
    <t>Субсидии телерадиокомпаниям и телерадиоорганизациям</t>
  </si>
  <si>
    <t>Пенсионное обеспечение</t>
  </si>
  <si>
    <t>Субсидии гражданам на приобретение жилья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</si>
  <si>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</si>
  <si>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</si>
  <si>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</si>
  <si>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</si>
  <si>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</si>
  <si>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</si>
  <si>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2 02 02089 00 0000 151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</si>
  <si>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</si>
  <si>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</si>
  <si>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</si>
  <si>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</si>
  <si>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</si>
  <si>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</si>
  <si>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</si>
  <si>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СОЦИАЛЬНАЯ ПОЛИТИКА</t>
  </si>
  <si>
    <t>НАЦИОНАЛЬНАЯ БЕЗОПАСНОСТЬ И ПРАВООХРАНИТЕЛЬНАЯ ДЕЯТЕЛЬНОСТЬ</t>
  </si>
  <si>
    <t>240</t>
  </si>
  <si>
    <t>Кредиты, полученные в валюте РФ от кредитных организаций  бюджетами городских округов</t>
  </si>
  <si>
    <t>00</t>
  </si>
  <si>
    <t>06</t>
  </si>
  <si>
    <t>05</t>
  </si>
  <si>
    <t>10</t>
  </si>
  <si>
    <t>07</t>
  </si>
  <si>
    <t>09</t>
  </si>
  <si>
    <t>03</t>
  </si>
  <si>
    <t>ЖИЛИЩНО-КОММУНАЛЬНОЕ ХОЗЯЙСТВО</t>
  </si>
  <si>
    <t>12</t>
  </si>
  <si>
    <t>000 01 06 06 00 00 0000 000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</si>
  <si>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</si>
  <si>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</si>
  <si>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</si>
  <si>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</si>
  <si>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1 09 04000 00 0000 110</t>
  </si>
  <si>
    <t>Выплата единовременной материальной помощи инвалидам всех категорий в рамках проведения дня инвалида*</t>
  </si>
  <si>
    <t>Муниципальная программа "Сельское хозяйство городского округа Домодедово Московской области на 2014-2016 годы"</t>
  </si>
  <si>
    <t>Невыясненные поступления, зачисляемые в  бюджеты городских округов</t>
  </si>
  <si>
    <t>000 01 06 01 00 00 0000 630</t>
  </si>
  <si>
    <t>Жилищное хозяйство</t>
  </si>
  <si>
    <t>2 19 00000 00 0000 000</t>
  </si>
  <si>
    <t>1 08 03000 01 0000 110</t>
  </si>
  <si>
    <t xml:space="preserve">Субсидии юридическим лицам (кроме муниципальных учреждений) и физическим лицам - производителям товаров, работ, услуг - строительство канализационной сети мкр-н Востряково г.Домодедово НПВК "ВКВ" </t>
  </si>
  <si>
    <t xml:space="preserve">Субсидии юридическим лицам (кроме муниципальных учреждений) и физическим лицам - производителям товаров, работ, услуг - строительство канализационной сети мкр-н Востряково г.Домодедово НП "Ручеек" </t>
  </si>
  <si>
    <t>Прокладка магистральных тепловых сетей от котельной "Авиационная" до жилых домов №№ 8, 9/1, 9/2 ООО "ПФК "Гюнай" по ул. Жуковского, мкр-н Авиационный, г.Домодедово</t>
  </si>
  <si>
    <t>Целевая субсидия МБУ "КБ" на изготовление и установку контейнерной (мусорной) площадки на Олимпийской аллее</t>
  </si>
  <si>
    <t>Целевая субсидия МБУ "КБ" на изготовление и установку уличной мебели на Олимпийской аллее (скамейки, урны, информационные стенды, указатели)</t>
  </si>
  <si>
    <t>Целевая субсидия МБУ "КБ" на приобретение саженцев на аллею 60-летия Победы, ул.Советская</t>
  </si>
  <si>
    <t>Целевая субсидия МБУ "КБ" на приобретение саженцев на Олимпийскую аллею</t>
  </si>
  <si>
    <t>Целевая субсидия МБУ "КБ" на приобретение саженцев для благоустройства территории у МАОУ Домодедовская СОШ № 1</t>
  </si>
  <si>
    <t>Целевая субсидия МБУ "КБ" на оборудование 3-х мест сбора мусора вдоль автомобильных дорог (д.Щербинка, д.Скрипино, д.Шестово)</t>
  </si>
  <si>
    <t>Целевая субсидия МБУ "КБ" на изготовление и установку забора вдоль аллеи 60-летия Победы, ул.Советская</t>
  </si>
  <si>
    <t>Целевая субсидия МБУ "КБ" на изготовление и установку ограждения контейнерной площадки по адресу: г.Домодедово, мкр-н Востряково, ул.Донбасская, д.54а</t>
  </si>
  <si>
    <t>Целевая субсидия МБУ "КБ" на приобретение и посадку саженцев по адресу: г.Домодедово, мкр-н Западный, ул.25 лет Октября</t>
  </si>
  <si>
    <t xml:space="preserve">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 </t>
  </si>
  <si>
    <t>09 2 6017</t>
  </si>
  <si>
    <t>Целевая субсидия на приобретение оборудования для учебного процесса</t>
  </si>
  <si>
    <t>Целевая субсидия на ремонт мягкой кровли МАДОУ детский сад № 26 "Лучик"</t>
  </si>
  <si>
    <t>Целевая субсидия на приобретение оборудования для прачечной в МАДОУ детский сад № 18 "Веселые стрижи"</t>
  </si>
  <si>
    <t>Целевая субсидия на проведение ремонта прачечной в МАДОУ детский сад № 18 "Веселые стрижи"</t>
  </si>
  <si>
    <t>Целевая субсидия на ремонт кровли МАДОУ детский сад № 27 "Теремок"</t>
  </si>
  <si>
    <t>Целевая субсидия на ремонт кровли МАДОУ детский сад № 20 "Колокольчик""</t>
  </si>
  <si>
    <t>Целевая субсидия на приобретение оборудования и инвентаря для МАДОУ детский сад № 49 "Улыбка"</t>
  </si>
  <si>
    <t>Целевая субсидия на благоустройство территории МАДОУ детский сад № 16 "Веснушка"</t>
  </si>
  <si>
    <t>Финансовое обеспечение мероприятий федеральной целевой программы "Развитие образования" на 2011-2015 годы</t>
  </si>
  <si>
    <t>02 2 5026</t>
  </si>
  <si>
    <t>Реализация мероприятий государственной программы Российской Федерации "Доступная среда" на 2011-2015 годы</t>
  </si>
  <si>
    <t>02 2 5027</t>
  </si>
  <si>
    <t>Подпрограмма "Капитальный ремонт общего имущества в многоквартирных домах, ремонт дворовых территорий, устройство дополнительных элементов детских игровых и спортивных площадок, расположенных на территории городского округа Домодедово, на 2014-2018 годы"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</si>
  <si>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</si>
  <si>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</si>
  <si>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Подпрограмма "Поддержка отдельных категорий граждан при улучшении ими жилищных условий, в том числе с использованием ипотечных жилищных кредитов на 2014-2018 годы"</t>
  </si>
  <si>
    <t>Подпрограмма "Обеспечение жильем ветеранов, инвалидов и семей, имеющих детей-инвалидов на 2014-2018 годы"</t>
  </si>
  <si>
    <t>08 3 5135</t>
  </si>
  <si>
    <t>2 02 03077 04 0000 151</t>
  </si>
  <si>
    <t>Государственная пошлина по делам, рассматриваемым в судах общей юрисдикции, мировыми судьями</t>
  </si>
  <si>
    <t>Объем погашения в 2015 году (тыс.руб.)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</si>
  <si>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</si>
  <si>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11 2 6065</t>
  </si>
  <si>
    <t xml:space="preserve">Реконструкция тренировочной площадки  на стадионе «Авангард», расположенному по адресу: Московская область, городской округ Домодедово, ул.Советская, д.70 </t>
  </si>
  <si>
    <t>04 1 6432</t>
  </si>
  <si>
    <t xml:space="preserve">Субсидии автономным учреждениям, в том числе: </t>
  </si>
  <si>
    <t>Субсидии юридическим лицам (кроме муниципальных учреждений) и физическим лицам - производителям товаров, работ, услуг, в том числе:</t>
  </si>
  <si>
    <t>Приобретение техники для нужд коммунального хозяйства</t>
  </si>
  <si>
    <t xml:space="preserve">10 0 0000 </t>
  </si>
  <si>
    <t>99 9 1295</t>
  </si>
  <si>
    <t>Субсидии автономным учреждениям, в том числе:</t>
  </si>
  <si>
    <t>Подпрограмма "Развитие дополнительного образования в сфере культуры и искусства в городском округе Домодедово на 2014-2018 годы"</t>
  </si>
  <si>
    <t>01 2 8423</t>
  </si>
  <si>
    <t>Исполнение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</si>
  <si>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</si>
  <si>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</si>
  <si>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Целевая субсидия на приобретение основных средств и расходных материалов для внедрения электронного читательского билета в МБУК "ЦБС"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</si>
  <si>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</si>
  <si>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</si>
  <si>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</si>
  <si>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</si>
  <si>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</si>
  <si>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прочих остатков средств бюджетов</t>
  </si>
  <si>
    <t>№ п/п</t>
  </si>
  <si>
    <t>1 11 05024 04 0000 120</t>
  </si>
  <si>
    <t>1 11 07000 00 0000 120</t>
  </si>
  <si>
    <t>Транспорт</t>
  </si>
  <si>
    <t>200</t>
  </si>
  <si>
    <t>Социальное обеспечение и иные выплаты населению</t>
  </si>
  <si>
    <t>300</t>
  </si>
  <si>
    <t>1 14 02042 04 0000 410</t>
  </si>
  <si>
    <t>Муниципальная программа"Развитие и функционирование дорожно-транспортного комплекса городского округа Домодедово на 2014-2018 годы"</t>
  </si>
  <si>
    <t>Осуществление полномочий органов местного самоуправления</t>
  </si>
  <si>
    <t xml:space="preserve">Строительство «Физкультурно-оздоровительного комплекса № 2» в составе городского стадиона «Авангард» по адресу: Московская область, г. Домодедово, микрорайон Северный,  ул. 2-я Коммунистическая, д. 2 (2-я очередь строительства)
</t>
  </si>
  <si>
    <t>Обеспечение мероприятий по капитальному ремонту внутридворовых территорий (средства муниципального дорожного фонда)</t>
  </si>
  <si>
    <t>Оплата жилого помещения и коммунальных услуг  малоимущим семьям, оказавшимся в трудной жизненной ситуации, которую они не могут преодолеть самостоятельно по независящим от них причинам, не имеющих возможности предоставления полного пакета документов для назначения субсидии и имеющие среднедушевой доход ниже величины прожиточного минимума в Московской области (не попадающих под действие Постановления Правительства РФ от 14 декабря 2005 года № 761 «О предоставлении субсидий на оплату жилого помещения и коммунальных услуг»*</t>
  </si>
  <si>
    <t>Целевая субсидия на устройство фонтана в мкр-не Авиационный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</si>
  <si>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</si>
  <si>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</si>
  <si>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</si>
  <si>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02 0 0000</t>
  </si>
  <si>
    <t>Иные закупки товаров, работ и услуг для обеспечения государственных (муниципальных) нужд</t>
  </si>
  <si>
    <t>Оплата жилищно - коммунальных услуг, разницы в тарифах по электрической энергии и природному газу отдельным категориям граждан*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</si>
  <si>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</si>
  <si>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КУЛЬТУРА, КИНЕМАТОГРАФИЯ</t>
  </si>
  <si>
    <t>04 2 0000</t>
  </si>
  <si>
    <t>Подпрограмма "Устойчивое развитие сельских территорий на 2014-2020 годы"</t>
  </si>
  <si>
    <t>06 2 0000</t>
  </si>
  <si>
    <t>06 0 0000</t>
  </si>
  <si>
    <t>06 2 2508</t>
  </si>
  <si>
    <t>09 0 0000</t>
  </si>
  <si>
    <t>09 1 0000</t>
  </si>
  <si>
    <t>09 1 2505</t>
  </si>
  <si>
    <t>Субсидии бюджетам на обеспечение жильем молодых семей</t>
  </si>
  <si>
    <t>2 02 02008 00 0000 151</t>
  </si>
  <si>
    <t>Денежные взыскания (штрафы) за нарушение бюджетного законодательства  (в части  бюджетов городских округов)</t>
  </si>
  <si>
    <t>13 0 0000</t>
  </si>
  <si>
    <t>13 1 0000</t>
  </si>
  <si>
    <t>13 1 2301</t>
  </si>
  <si>
    <t>от 14.06.2016  № 1-4/714</t>
  </si>
  <si>
    <t>от  14.06.2016  № 1-4/714</t>
  </si>
  <si>
    <t>от 14.06.2016 № 1-4/714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</si>
</sst>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;[Red]#,##0"/>
    <numFmt numFmtId="179" formatCode="#,##0_ ;[Red]\-#,##0\ "/>
    <numFmt numFmtId="180" formatCode="#,##0.0_ ;[Red]\-#,##0.0\ "/>
    <numFmt numFmtId="181" formatCode="#,##0.00_ ;[Red]\-#,##0.00\ 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[$€-2]\ ###,000_);[Red]\([$€-2]\ ###,000\)"/>
    <numFmt numFmtId="186" formatCode="0.000"/>
    <numFmt numFmtId="187" formatCode="[$-FC19]d\ mmmm\ yyyy\ &quot;г.&quot;"/>
    <numFmt numFmtId="188" formatCode="_-* #,##0.000_р_._-;\-* #,##0.000_р_._-;_-* &quot;-&quot;??_р_._-;_-@_-"/>
    <numFmt numFmtId="189" formatCode="#,##0.000"/>
    <numFmt numFmtId="190" formatCode="#,##0.00_ ;\-#,##0.00\ "/>
  </numFmts>
  <fonts count="1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i/>
      <sz val="12"/>
      <name val="Times New Roman Cyr"/>
      <family val="0"/>
    </font>
    <font>
      <b/>
      <sz val="10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 Cyr"/>
      <family val="0"/>
    </font>
    <font>
      <sz val="12"/>
      <color indexed="30"/>
      <name val="Times New Roman Cyr"/>
      <family val="1"/>
    </font>
    <font>
      <sz val="12"/>
      <name val="Times New Roman"/>
      <family val="1"/>
    </font>
    <font>
      <sz val="12"/>
      <color indexed="56"/>
      <name val="Times New Roman Cyr"/>
      <family val="1"/>
    </font>
    <font>
      <sz val="10"/>
      <color indexed="12"/>
      <name val="Times New Roman Cyr"/>
      <family val="1"/>
    </font>
    <font>
      <b/>
      <sz val="11"/>
      <name val="Times New Roman CYR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3"/>
      <color indexed="12"/>
      <name val="Arial Cyr"/>
      <family val="0"/>
    </font>
    <font>
      <sz val="10"/>
      <color indexed="12"/>
      <name val="Arial Cyr"/>
      <family val="0"/>
    </font>
    <font>
      <sz val="13"/>
      <color indexed="12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 Cyr"/>
      <family val="1"/>
    </font>
    <font>
      <sz val="12"/>
      <color indexed="12"/>
      <name val="Times New Roman"/>
      <family val="1"/>
    </font>
    <font>
      <sz val="13"/>
      <name val="Times New Roman Cyr"/>
      <family val="1"/>
    </font>
    <font>
      <sz val="14"/>
      <name val="Arial Cyr"/>
      <family val="0"/>
    </font>
    <font>
      <sz val="14"/>
      <color indexed="12"/>
      <name val="Arial Cyr"/>
      <family val="0"/>
    </font>
    <font>
      <sz val="10"/>
      <color indexed="44"/>
      <name val="Arial Cyr"/>
      <family val="0"/>
    </font>
    <font>
      <b/>
      <sz val="12"/>
      <color indexed="44"/>
      <name val="Arial Cyr"/>
      <family val="0"/>
    </font>
    <font>
      <b/>
      <sz val="12"/>
      <color indexed="9"/>
      <name val="Arial Cyr"/>
      <family val="0"/>
    </font>
    <font>
      <b/>
      <sz val="13"/>
      <name val="Arial Cyr"/>
      <family val="0"/>
    </font>
    <font>
      <b/>
      <sz val="13"/>
      <color indexed="44"/>
      <name val="Arial Cyr"/>
      <family val="0"/>
    </font>
    <font>
      <b/>
      <sz val="15"/>
      <name val="Times New Roman"/>
      <family val="1"/>
    </font>
    <font>
      <b/>
      <sz val="12"/>
      <color indexed="62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0"/>
      <name val="Arial"/>
      <family val="2"/>
    </font>
    <font>
      <b/>
      <sz val="9"/>
      <color indexed="12"/>
      <name val="Times New Roman Cyr"/>
      <family val="1"/>
    </font>
    <font>
      <sz val="9"/>
      <color indexed="12"/>
      <name val="Times New Roman Cyr"/>
      <family val="1"/>
    </font>
    <font>
      <vertAlign val="superscript"/>
      <sz val="9"/>
      <name val="Times New Roman Cyr"/>
      <family val="0"/>
    </font>
    <font>
      <sz val="9"/>
      <color indexed="12"/>
      <name val="Times New Roman"/>
      <family val="1"/>
    </font>
    <font>
      <sz val="9"/>
      <color indexed="18"/>
      <name val="Times New Roman"/>
      <family val="1"/>
    </font>
    <font>
      <sz val="9"/>
      <color indexed="62"/>
      <name val="Times New Roman"/>
      <family val="1"/>
    </font>
    <font>
      <sz val="9"/>
      <color indexed="58"/>
      <name val="Times New Roman"/>
      <family val="1"/>
    </font>
    <font>
      <sz val="9"/>
      <color indexed="18"/>
      <name val="Times New Roman Cyr"/>
      <family val="1"/>
    </font>
    <font>
      <sz val="9"/>
      <color indexed="62"/>
      <name val="Times New Roman Cyr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 Cyr"/>
      <family val="0"/>
    </font>
    <font>
      <sz val="11"/>
      <name val="Times New Roman Cyr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0"/>
      <name val="Times New Roman CYR"/>
      <family val="0"/>
    </font>
    <font>
      <sz val="10"/>
      <color indexed="62"/>
      <name val="Times New Roman CYR"/>
      <family val="0"/>
    </font>
    <font>
      <b/>
      <sz val="10"/>
      <color indexed="36"/>
      <name val="Times New Roman CYR"/>
      <family val="0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3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/>
      <top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2" fillId="25" borderId="1" applyNumberFormat="0" applyAlignment="0" applyProtection="0"/>
    <xf numFmtId="0" fontId="113" fillId="26" borderId="2" applyNumberFormat="0" applyAlignment="0" applyProtection="0"/>
    <xf numFmtId="0" fontId="11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27" borderId="7" applyNumberFormat="0" applyAlignment="0" applyProtection="0"/>
    <xf numFmtId="0" fontId="120" fillId="0" borderId="0" applyNumberFormat="0" applyFill="0" applyBorder="0" applyAlignment="0" applyProtection="0"/>
    <xf numFmtId="0" fontId="121" fillId="28" borderId="0" applyNumberFormat="0" applyBorder="0" applyAlignment="0" applyProtection="0"/>
    <xf numFmtId="0" fontId="78" fillId="0" borderId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12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6" fillId="31" borderId="0" applyNumberFormat="0" applyBorder="0" applyAlignment="0" applyProtection="0"/>
  </cellStyleXfs>
  <cellXfs count="716">
    <xf numFmtId="0" fontId="0" fillId="0" borderId="0" xfId="0" applyAlignment="1">
      <alignment/>
    </xf>
    <xf numFmtId="172" fontId="13" fillId="0" borderId="10" xfId="57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57" applyFont="1" applyFill="1" applyAlignment="1" applyProtection="1">
      <alignment horizontal="center" vertical="center"/>
      <protection hidden="1"/>
    </xf>
    <xf numFmtId="49" fontId="3" fillId="0" borderId="0" xfId="57" applyNumberFormat="1" applyFont="1" applyFill="1" applyAlignment="1" applyProtection="1">
      <alignment horizontal="center" vertical="center"/>
      <protection hidden="1"/>
    </xf>
    <xf numFmtId="3" fontId="3" fillId="0" borderId="0" xfId="57" applyNumberFormat="1" applyFont="1" applyFill="1" applyAlignment="1" applyProtection="1">
      <alignment horizontal="center"/>
      <protection hidden="1"/>
    </xf>
    <xf numFmtId="49" fontId="9" fillId="0" borderId="0" xfId="57" applyNumberFormat="1" applyFont="1" applyFill="1" applyProtection="1">
      <alignment/>
      <protection hidden="1"/>
    </xf>
    <xf numFmtId="0" fontId="3" fillId="0" borderId="0" xfId="57" applyFont="1" applyFill="1" applyProtection="1">
      <alignment/>
      <protection hidden="1"/>
    </xf>
    <xf numFmtId="0" fontId="4" fillId="0" borderId="0" xfId="57" applyFont="1" applyFill="1" applyBorder="1" applyAlignment="1" applyProtection="1">
      <alignment horizontal="center" vertical="center"/>
      <protection hidden="1"/>
    </xf>
    <xf numFmtId="0" fontId="9" fillId="0" borderId="0" xfId="57" applyFont="1" applyFill="1" applyBorder="1" applyAlignment="1" applyProtection="1">
      <alignment horizontal="center" vertical="top"/>
      <protection hidden="1"/>
    </xf>
    <xf numFmtId="0" fontId="0" fillId="0" borderId="0" xfId="57" applyFont="1" applyFill="1" applyProtection="1">
      <alignment/>
      <protection hidden="1"/>
    </xf>
    <xf numFmtId="3" fontId="3" fillId="0" borderId="0" xfId="57" applyNumberFormat="1" applyFont="1" applyFill="1" applyProtection="1">
      <alignment/>
      <protection hidden="1"/>
    </xf>
    <xf numFmtId="0" fontId="6" fillId="0" borderId="1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49" fontId="3" fillId="0" borderId="0" xfId="57" applyNumberFormat="1" applyFont="1" applyFill="1" applyProtection="1">
      <alignment/>
      <protection hidden="1"/>
    </xf>
    <xf numFmtId="172" fontId="15" fillId="0" borderId="0" xfId="57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left" vertical="top"/>
      <protection hidden="1"/>
    </xf>
    <xf numFmtId="172" fontId="3" fillId="0" borderId="10" xfId="0" applyNumberFormat="1" applyFont="1" applyFill="1" applyBorder="1" applyAlignment="1" applyProtection="1">
      <alignment horizontal="right"/>
      <protection hidden="1"/>
    </xf>
    <xf numFmtId="174" fontId="15" fillId="0" borderId="0" xfId="57" applyNumberFormat="1" applyFont="1" applyFill="1" applyProtection="1">
      <alignment/>
      <protection hidden="1"/>
    </xf>
    <xf numFmtId="0" fontId="17" fillId="0" borderId="0" xfId="57" applyFont="1" applyFill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9" fillId="0" borderId="0" xfId="0" applyFont="1" applyAlignment="1">
      <alignment/>
    </xf>
    <xf numFmtId="0" fontId="3" fillId="0" borderId="0" xfId="57" applyFont="1" applyFill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182" fontId="9" fillId="0" borderId="0" xfId="57" applyNumberFormat="1" applyFont="1" applyFill="1" applyProtection="1">
      <alignment/>
      <protection hidden="1"/>
    </xf>
    <xf numFmtId="182" fontId="12" fillId="0" borderId="10" xfId="0" applyNumberFormat="1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3" fillId="32" borderId="0" xfId="57" applyFont="1" applyFill="1" applyProtection="1">
      <alignment/>
      <protection hidden="1"/>
    </xf>
    <xf numFmtId="3" fontId="3" fillId="32" borderId="0" xfId="57" applyNumberFormat="1" applyFont="1" applyFill="1" applyProtection="1">
      <alignment/>
      <protection hidden="1"/>
    </xf>
    <xf numFmtId="0" fontId="0" fillId="32" borderId="0" xfId="57" applyFont="1" applyFill="1" applyProtection="1">
      <alignment/>
      <protection hidden="1"/>
    </xf>
    <xf numFmtId="3" fontId="0" fillId="32" borderId="0" xfId="57" applyNumberFormat="1" applyFont="1" applyFill="1" applyProtection="1">
      <alignment/>
      <protection hidden="1"/>
    </xf>
    <xf numFmtId="172" fontId="3" fillId="32" borderId="0" xfId="57" applyNumberFormat="1" applyFont="1" applyFill="1" applyProtection="1">
      <alignment/>
      <protection hidden="1"/>
    </xf>
    <xf numFmtId="0" fontId="23" fillId="32" borderId="0" xfId="57" applyFont="1" applyFill="1" applyProtection="1">
      <alignment/>
      <protection hidden="1"/>
    </xf>
    <xf numFmtId="3" fontId="23" fillId="32" borderId="0" xfId="57" applyNumberFormat="1" applyFont="1" applyFill="1" applyProtection="1">
      <alignment/>
      <protection hidden="1"/>
    </xf>
    <xf numFmtId="0" fontId="17" fillId="32" borderId="0" xfId="57" applyFont="1" applyFill="1" applyProtection="1">
      <alignment/>
      <protection hidden="1"/>
    </xf>
    <xf numFmtId="3" fontId="17" fillId="32" borderId="0" xfId="57" applyNumberFormat="1" applyFont="1" applyFill="1" applyProtection="1">
      <alignment/>
      <protection hidden="1"/>
    </xf>
    <xf numFmtId="0" fontId="3" fillId="32" borderId="0" xfId="57" applyFont="1" applyFill="1" applyProtection="1">
      <alignment/>
      <protection hidden="1"/>
    </xf>
    <xf numFmtId="182" fontId="10" fillId="0" borderId="0" xfId="0" applyNumberFormat="1" applyFont="1" applyFill="1" applyAlignment="1" applyProtection="1">
      <alignment horizontal="left"/>
      <protection hidden="1"/>
    </xf>
    <xf numFmtId="182" fontId="0" fillId="0" borderId="0" xfId="0" applyNumberFormat="1" applyFill="1" applyAlignment="1" applyProtection="1">
      <alignment/>
      <protection hidden="1"/>
    </xf>
    <xf numFmtId="172" fontId="12" fillId="0" borderId="10" xfId="0" applyNumberFormat="1" applyFont="1" applyFill="1" applyBorder="1" applyAlignment="1" applyProtection="1">
      <alignment/>
      <protection hidden="1"/>
    </xf>
    <xf numFmtId="172" fontId="3" fillId="0" borderId="10" xfId="0" applyNumberFormat="1" applyFont="1" applyFill="1" applyBorder="1" applyAlignment="1" applyProtection="1">
      <alignment/>
      <protection hidden="1"/>
    </xf>
    <xf numFmtId="172" fontId="13" fillId="0" borderId="10" xfId="0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57" applyFont="1" applyFill="1" applyBorder="1" applyAlignment="1" applyProtection="1">
      <alignment horizontal="center" vertical="center"/>
      <protection hidden="1"/>
    </xf>
    <xf numFmtId="172" fontId="22" fillId="32" borderId="0" xfId="57" applyNumberFormat="1" applyFont="1" applyFill="1" applyProtection="1">
      <alignment/>
      <protection hidden="1"/>
    </xf>
    <xf numFmtId="0" fontId="18" fillId="0" borderId="10" xfId="0" applyFont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justify" vertical="top" wrapText="1"/>
      <protection hidden="1"/>
    </xf>
    <xf numFmtId="0" fontId="27" fillId="0" borderId="10" xfId="0" applyFont="1" applyBorder="1" applyAlignment="1" applyProtection="1">
      <alignment horizontal="justify" vertical="top" wrapText="1"/>
      <protection hidden="1"/>
    </xf>
    <xf numFmtId="0" fontId="28" fillId="0" borderId="10" xfId="0" applyFont="1" applyBorder="1" applyAlignment="1" applyProtection="1">
      <alignment horizontal="justify" vertical="top" wrapText="1"/>
      <protection hidden="1"/>
    </xf>
    <xf numFmtId="0" fontId="10" fillId="0" borderId="10" xfId="0" applyFont="1" applyBorder="1" applyAlignment="1" applyProtection="1">
      <alignment horizontal="justify" vertical="top" wrapText="1"/>
      <protection hidden="1"/>
    </xf>
    <xf numFmtId="0" fontId="18" fillId="0" borderId="10" xfId="0" applyFont="1" applyBorder="1" applyAlignment="1" applyProtection="1">
      <alignment horizontal="justify" vertical="top" wrapText="1"/>
      <protection hidden="1"/>
    </xf>
    <xf numFmtId="0" fontId="29" fillId="0" borderId="10" xfId="0" applyFont="1" applyBorder="1" applyAlignment="1" applyProtection="1">
      <alignment horizontal="justify" vertical="top" wrapText="1"/>
      <protection hidden="1"/>
    </xf>
    <xf numFmtId="0" fontId="10" fillId="0" borderId="10" xfId="0" applyFont="1" applyBorder="1" applyAlignment="1" applyProtection="1">
      <alignment horizontal="justify" vertical="top" wrapText="1"/>
      <protection hidden="1"/>
    </xf>
    <xf numFmtId="0" fontId="27" fillId="0" borderId="10" xfId="0" applyFont="1" applyBorder="1" applyAlignment="1" applyProtection="1">
      <alignment horizontal="justify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18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26" fillId="0" borderId="10" xfId="0" applyFont="1" applyBorder="1" applyAlignment="1" applyProtection="1">
      <alignment vertical="top" wrapText="1"/>
      <protection hidden="1"/>
    </xf>
    <xf numFmtId="0" fontId="29" fillId="0" borderId="10" xfId="0" applyFont="1" applyBorder="1" applyAlignment="1" applyProtection="1">
      <alignment vertical="top" wrapText="1"/>
      <protection hidden="1"/>
    </xf>
    <xf numFmtId="0" fontId="10" fillId="0" borderId="10" xfId="0" applyFont="1" applyBorder="1" applyAlignment="1" applyProtection="1">
      <alignment vertical="top" wrapText="1"/>
      <protection hidden="1"/>
    </xf>
    <xf numFmtId="0" fontId="18" fillId="0" borderId="10" xfId="0" applyFont="1" applyBorder="1" applyAlignment="1" applyProtection="1">
      <alignment horizontal="justify" vertical="top" wrapText="1"/>
      <protection hidden="1"/>
    </xf>
    <xf numFmtId="4" fontId="3" fillId="0" borderId="0" xfId="57" applyNumberFormat="1" applyFont="1" applyFill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" fontId="3" fillId="32" borderId="0" xfId="57" applyNumberFormat="1" applyFont="1" applyFill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 vertical="top" wrapText="1"/>
      <protection hidden="1"/>
    </xf>
    <xf numFmtId="0" fontId="18" fillId="0" borderId="14" xfId="0" applyFont="1" applyBorder="1" applyAlignment="1" applyProtection="1">
      <alignment horizontal="justify" vertical="top" wrapText="1"/>
      <protection hidden="1"/>
    </xf>
    <xf numFmtId="172" fontId="12" fillId="0" borderId="14" xfId="0" applyNumberFormat="1" applyFont="1" applyFill="1" applyBorder="1" applyAlignment="1" applyProtection="1">
      <alignment/>
      <protection hidden="1"/>
    </xf>
    <xf numFmtId="0" fontId="18" fillId="0" borderId="15" xfId="0" applyFont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18" fillId="0" borderId="15" xfId="0" applyFont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172" fontId="12" fillId="0" borderId="16" xfId="57" applyNumberFormat="1" applyFont="1" applyFill="1" applyBorder="1" applyAlignment="1" applyProtection="1">
      <alignment horizontal="right" vertical="center"/>
      <protection hidden="1"/>
    </xf>
    <xf numFmtId="182" fontId="10" fillId="0" borderId="17" xfId="0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182" fontId="9" fillId="0" borderId="0" xfId="57" applyNumberFormat="1" applyFont="1" applyFill="1" applyBorder="1" applyAlignment="1" applyProtection="1">
      <alignment/>
      <protection hidden="1"/>
    </xf>
    <xf numFmtId="182" fontId="10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Border="1" applyAlignment="1">
      <alignment/>
    </xf>
    <xf numFmtId="189" fontId="3" fillId="32" borderId="0" xfId="57" applyNumberFormat="1" applyFont="1" applyFill="1" applyProtection="1">
      <alignment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10" fillId="0" borderId="14" xfId="0" applyFont="1" applyBorder="1" applyAlignment="1" applyProtection="1">
      <alignment horizontal="justify" vertical="top" wrapText="1"/>
      <protection hidden="1"/>
    </xf>
    <xf numFmtId="172" fontId="12" fillId="33" borderId="10" xfId="0" applyNumberFormat="1" applyFont="1" applyFill="1" applyBorder="1" applyAlignment="1" applyProtection="1">
      <alignment/>
      <protection hidden="1"/>
    </xf>
    <xf numFmtId="172" fontId="3" fillId="33" borderId="10" xfId="0" applyNumberFormat="1" applyFont="1" applyFill="1" applyBorder="1" applyAlignment="1" applyProtection="1">
      <alignment/>
      <protection hidden="1"/>
    </xf>
    <xf numFmtId="0" fontId="10" fillId="0" borderId="18" xfId="0" applyFont="1" applyBorder="1" applyAlignment="1" applyProtection="1">
      <alignment horizontal="justify" vertical="top" wrapText="1"/>
      <protection hidden="1"/>
    </xf>
    <xf numFmtId="0" fontId="21" fillId="0" borderId="11" xfId="0" applyFont="1" applyBorder="1" applyAlignment="1">
      <alignment horizontal="center" wrapText="1"/>
    </xf>
    <xf numFmtId="0" fontId="3" fillId="0" borderId="0" xfId="57" applyFont="1" applyFill="1" applyAlignment="1" applyProtection="1">
      <alignment horizontal="left"/>
      <protection hidden="1"/>
    </xf>
    <xf numFmtId="172" fontId="4" fillId="0" borderId="19" xfId="57" applyNumberFormat="1" applyFont="1" applyFill="1" applyBorder="1" applyAlignment="1" applyProtection="1">
      <alignment horizontal="right" vertical="center"/>
      <protection hidden="1"/>
    </xf>
    <xf numFmtId="172" fontId="12" fillId="0" borderId="10" xfId="0" applyNumberFormat="1" applyFont="1" applyFill="1" applyBorder="1" applyAlignment="1" applyProtection="1">
      <alignment horizontal="right"/>
      <protection hidden="1"/>
    </xf>
    <xf numFmtId="0" fontId="5" fillId="0" borderId="0" xfId="57" applyFont="1" applyFill="1" applyBorder="1" applyAlignment="1" applyProtection="1">
      <alignment horizontal="center" vertical="center"/>
      <protection hidden="1" locked="0"/>
    </xf>
    <xf numFmtId="172" fontId="3" fillId="0" borderId="0" xfId="57" applyNumberFormat="1" applyFont="1" applyFill="1" applyAlignment="1" applyProtection="1">
      <alignment horizontal="center"/>
      <protection hidden="1"/>
    </xf>
    <xf numFmtId="3" fontId="4" fillId="0" borderId="0" xfId="57" applyNumberFormat="1" applyFont="1" applyFill="1" applyBorder="1" applyAlignment="1" applyProtection="1">
      <alignment horizontal="center" wrapText="1"/>
      <protection hidden="1"/>
    </xf>
    <xf numFmtId="0" fontId="3" fillId="32" borderId="0" xfId="57" applyFont="1" applyFill="1" applyBorder="1" applyProtection="1">
      <alignment/>
      <protection hidden="1"/>
    </xf>
    <xf numFmtId="0" fontId="10" fillId="0" borderId="20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7" fillId="0" borderId="22" xfId="57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57" applyFont="1" applyFill="1" applyBorder="1" applyAlignment="1" applyProtection="1">
      <alignment horizontal="center" vertical="center" wrapText="1"/>
      <protection hidden="1"/>
    </xf>
    <xf numFmtId="0" fontId="7" fillId="0" borderId="23" xfId="57" applyFont="1" applyFill="1" applyBorder="1" applyAlignment="1" applyProtection="1">
      <alignment horizontal="center" vertical="center" wrapText="1"/>
      <protection hidden="1"/>
    </xf>
    <xf numFmtId="0" fontId="5" fillId="0" borderId="24" xfId="57" applyFont="1" applyFill="1" applyBorder="1" applyAlignment="1" applyProtection="1">
      <alignment horizontal="left" vertical="center"/>
      <protection hidden="1"/>
    </xf>
    <xf numFmtId="49" fontId="8" fillId="0" borderId="24" xfId="57" applyNumberFormat="1" applyFont="1" applyFill="1" applyBorder="1" applyAlignment="1" applyProtection="1">
      <alignment horizontal="center" vertical="center"/>
      <protection hidden="1"/>
    </xf>
    <xf numFmtId="172" fontId="13" fillId="0" borderId="14" xfId="57" applyNumberFormat="1" applyFont="1" applyFill="1" applyBorder="1" applyAlignment="1" applyProtection="1">
      <alignment horizontal="right" vertical="center"/>
      <protection hidden="1"/>
    </xf>
    <xf numFmtId="0" fontId="5" fillId="0" borderId="10" xfId="57" applyFont="1" applyFill="1" applyBorder="1" applyAlignment="1" applyProtection="1">
      <alignment horizontal="left" wrapText="1"/>
      <protection hidden="1"/>
    </xf>
    <xf numFmtId="49" fontId="8" fillId="0" borderId="10" xfId="57" applyNumberFormat="1" applyFont="1" applyFill="1" applyBorder="1" applyAlignment="1" applyProtection="1">
      <alignment horizontal="center" wrapText="1"/>
      <protection hidden="1"/>
    </xf>
    <xf numFmtId="49" fontId="6" fillId="0" borderId="10" xfId="57" applyNumberFormat="1" applyFont="1" applyFill="1" applyBorder="1" applyAlignment="1" applyProtection="1">
      <alignment horizontal="center" wrapText="1"/>
      <protection hidden="1"/>
    </xf>
    <xf numFmtId="172" fontId="13" fillId="0" borderId="10" xfId="57" applyNumberFormat="1" applyFont="1" applyFill="1" applyBorder="1" applyAlignment="1" applyProtection="1">
      <alignment horizontal="right"/>
      <protection hidden="1"/>
    </xf>
    <xf numFmtId="0" fontId="8" fillId="0" borderId="10" xfId="57" applyFont="1" applyFill="1" applyBorder="1" applyAlignment="1" applyProtection="1">
      <alignment horizontal="left" wrapText="1"/>
      <protection hidden="1"/>
    </xf>
    <xf numFmtId="49" fontId="6" fillId="0" borderId="10" xfId="57" applyNumberFormat="1" applyFont="1" applyFill="1" applyBorder="1" applyAlignment="1" applyProtection="1">
      <alignment horizontal="center" wrapText="1"/>
      <protection hidden="1"/>
    </xf>
    <xf numFmtId="172" fontId="12" fillId="0" borderId="10" xfId="57" applyNumberFormat="1" applyFont="1" applyFill="1" applyBorder="1" applyAlignment="1" applyProtection="1">
      <alignment horizontal="right"/>
      <protection hidden="1"/>
    </xf>
    <xf numFmtId="0" fontId="6" fillId="0" borderId="10" xfId="57" applyFont="1" applyFill="1" applyBorder="1" applyAlignment="1" applyProtection="1">
      <alignment horizontal="left" vertical="center" wrapText="1"/>
      <protection hidden="1"/>
    </xf>
    <xf numFmtId="0" fontId="6" fillId="0" borderId="10" xfId="57" applyFont="1" applyFill="1" applyBorder="1" applyAlignment="1" applyProtection="1">
      <alignment horizontal="left" wrapText="1"/>
      <protection hidden="1"/>
    </xf>
    <xf numFmtId="172" fontId="3" fillId="0" borderId="10" xfId="57" applyNumberFormat="1" applyFont="1" applyFill="1" applyBorder="1" applyAlignment="1" applyProtection="1">
      <alignment horizontal="right"/>
      <protection hidden="1"/>
    </xf>
    <xf numFmtId="172" fontId="12" fillId="0" borderId="10" xfId="57" applyNumberFormat="1" applyFont="1" applyFill="1" applyBorder="1" applyAlignment="1" applyProtection="1">
      <alignment horizontal="right"/>
      <protection hidden="1"/>
    </xf>
    <xf numFmtId="0" fontId="8" fillId="0" borderId="10" xfId="57" applyFont="1" applyFill="1" applyBorder="1" applyAlignment="1" applyProtection="1">
      <alignment horizontal="left" vertical="center" wrapText="1"/>
      <protection hidden="1"/>
    </xf>
    <xf numFmtId="0" fontId="6" fillId="0" borderId="10" xfId="57" applyFont="1" applyFill="1" applyBorder="1" applyAlignment="1" applyProtection="1">
      <alignment horizontal="left" vertical="center" wrapText="1"/>
      <protection hidden="1"/>
    </xf>
    <xf numFmtId="172" fontId="3" fillId="0" borderId="10" xfId="57" applyNumberFormat="1" applyFont="1" applyFill="1" applyBorder="1" applyAlignment="1" applyProtection="1">
      <alignment horizontal="right"/>
      <protection hidden="1"/>
    </xf>
    <xf numFmtId="0" fontId="6" fillId="0" borderId="10" xfId="57" applyFont="1" applyFill="1" applyBorder="1" applyAlignment="1" applyProtection="1">
      <alignment horizontal="left" wrapText="1"/>
      <protection hidden="1"/>
    </xf>
    <xf numFmtId="0" fontId="11" fillId="0" borderId="10" xfId="57" applyFont="1" applyFill="1" applyBorder="1" applyAlignment="1" applyProtection="1">
      <alignment horizontal="left" vertical="center" wrapText="1"/>
      <protection hidden="1"/>
    </xf>
    <xf numFmtId="172" fontId="22" fillId="0" borderId="10" xfId="57" applyNumberFormat="1" applyFont="1" applyFill="1" applyBorder="1" applyAlignment="1" applyProtection="1">
      <alignment horizontal="right"/>
      <protection hidden="1"/>
    </xf>
    <xf numFmtId="0" fontId="8" fillId="0" borderId="10" xfId="57" applyFont="1" applyFill="1" applyBorder="1" applyAlignment="1" applyProtection="1">
      <alignment horizontal="left" vertical="center" wrapText="1"/>
      <protection hidden="1"/>
    </xf>
    <xf numFmtId="0" fontId="3" fillId="0" borderId="10" xfId="57" applyFont="1" applyFill="1" applyBorder="1" applyProtection="1">
      <alignment/>
      <protection hidden="1"/>
    </xf>
    <xf numFmtId="0" fontId="11" fillId="0" borderId="10" xfId="57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Border="1" applyAlignment="1">
      <alignment wrapText="1"/>
    </xf>
    <xf numFmtId="0" fontId="11" fillId="33" borderId="10" xfId="57" applyFont="1" applyFill="1" applyBorder="1" applyAlignment="1" applyProtection="1">
      <alignment horizontal="left" vertical="center" wrapText="1"/>
      <protection hidden="1"/>
    </xf>
    <xf numFmtId="0" fontId="5" fillId="0" borderId="10" xfId="57" applyFont="1" applyFill="1" applyBorder="1" applyAlignment="1" applyProtection="1">
      <alignment horizontal="left" vertical="center" wrapText="1"/>
      <protection hidden="1"/>
    </xf>
    <xf numFmtId="172" fontId="13" fillId="0" borderId="10" xfId="57" applyNumberFormat="1" applyFont="1" applyFill="1" applyBorder="1" applyAlignment="1" applyProtection="1">
      <alignment horizontal="right"/>
      <protection hidden="1"/>
    </xf>
    <xf numFmtId="49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7" applyNumberFormat="1" applyFont="1" applyFill="1" applyBorder="1" applyAlignment="1" applyProtection="1">
      <alignment horizontal="center"/>
      <protection hidden="1"/>
    </xf>
    <xf numFmtId="0" fontId="11" fillId="0" borderId="10" xfId="57" applyFont="1" applyFill="1" applyBorder="1" applyAlignment="1" applyProtection="1">
      <alignment horizontal="left" wrapText="1"/>
      <protection hidden="1"/>
    </xf>
    <xf numFmtId="49" fontId="8" fillId="0" borderId="10" xfId="57" applyNumberFormat="1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>
      <alignment wrapText="1"/>
    </xf>
    <xf numFmtId="0" fontId="6" fillId="0" borderId="10" xfId="57" applyFont="1" applyFill="1" applyBorder="1" applyAlignment="1" applyProtection="1">
      <alignment wrapText="1"/>
      <protection hidden="1"/>
    </xf>
    <xf numFmtId="0" fontId="6" fillId="0" borderId="10" xfId="57" applyNumberFormat="1" applyFont="1" applyFill="1" applyBorder="1" applyAlignment="1" applyProtection="1">
      <alignment horizontal="left" vertical="center" wrapText="1"/>
      <protection hidden="1"/>
    </xf>
    <xf numFmtId="172" fontId="32" fillId="0" borderId="10" xfId="57" applyNumberFormat="1" applyFont="1" applyFill="1" applyBorder="1" applyAlignment="1" applyProtection="1">
      <alignment horizontal="right"/>
      <protection hidden="1"/>
    </xf>
    <xf numFmtId="172" fontId="12" fillId="0" borderId="10" xfId="57" applyNumberFormat="1" applyFont="1" applyFill="1" applyBorder="1" applyAlignment="1" applyProtection="1">
      <alignment horizontal="right" vertical="center"/>
      <protection hidden="1"/>
    </xf>
    <xf numFmtId="49" fontId="8" fillId="0" borderId="10" xfId="57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57" applyNumberFormat="1" applyFont="1" applyFill="1" applyBorder="1" applyAlignment="1" applyProtection="1">
      <alignment horizontal="left" wrapText="1"/>
      <protection hidden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33" borderId="10" xfId="57" applyFont="1" applyFill="1" applyBorder="1" applyAlignment="1" applyProtection="1">
      <alignment horizontal="left" vertical="center" wrapText="1"/>
      <protection hidden="1"/>
    </xf>
    <xf numFmtId="49" fontId="6" fillId="33" borderId="10" xfId="57" applyNumberFormat="1" applyFont="1" applyFill="1" applyBorder="1" applyAlignment="1" applyProtection="1">
      <alignment horizontal="center" wrapText="1"/>
      <protection hidden="1"/>
    </xf>
    <xf numFmtId="172" fontId="3" fillId="33" borderId="10" xfId="57" applyNumberFormat="1" applyFont="1" applyFill="1" applyBorder="1" applyAlignment="1" applyProtection="1">
      <alignment horizontal="right"/>
      <protection hidden="1"/>
    </xf>
    <xf numFmtId="172" fontId="22" fillId="33" borderId="10" xfId="57" applyNumberFormat="1" applyFont="1" applyFill="1" applyBorder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horizontal="left" wrapText="1"/>
    </xf>
    <xf numFmtId="172" fontId="12" fillId="33" borderId="10" xfId="57" applyNumberFormat="1" applyFont="1" applyFill="1" applyBorder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0" fontId="6" fillId="0" borderId="10" xfId="0" applyFont="1" applyFill="1" applyBorder="1" applyAlignment="1" applyProtection="1">
      <alignment horizontal="left" wrapText="1"/>
      <protection hidden="1"/>
    </xf>
    <xf numFmtId="172" fontId="12" fillId="0" borderId="10" xfId="57" applyNumberFormat="1" applyFont="1" applyFill="1" applyBorder="1" applyAlignment="1" applyProtection="1">
      <alignment horizontal="right" vertical="center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6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7" applyFont="1" applyFill="1" applyBorder="1" applyAlignment="1" applyProtection="1">
      <alignment horizontal="left" vertical="justify" wrapText="1"/>
      <protection hidden="1"/>
    </xf>
    <xf numFmtId="0" fontId="8" fillId="0" borderId="10" xfId="0" applyFont="1" applyFill="1" applyBorder="1" applyAlignment="1" applyProtection="1">
      <alignment horizontal="left" wrapText="1"/>
      <protection hidden="1"/>
    </xf>
    <xf numFmtId="0" fontId="6" fillId="0" borderId="10" xfId="0" applyFont="1" applyFill="1" applyBorder="1" applyAlignment="1" quotePrefix="1">
      <alignment horizontal="right"/>
    </xf>
    <xf numFmtId="0" fontId="5" fillId="34" borderId="10" xfId="57" applyFont="1" applyFill="1" applyBorder="1" applyAlignment="1" applyProtection="1">
      <alignment horizontal="left" wrapText="1"/>
      <protection hidden="1"/>
    </xf>
    <xf numFmtId="49" fontId="8" fillId="34" borderId="10" xfId="57" applyNumberFormat="1" applyFont="1" applyFill="1" applyBorder="1" applyAlignment="1" applyProtection="1">
      <alignment horizontal="center" wrapText="1"/>
      <protection hidden="1"/>
    </xf>
    <xf numFmtId="172" fontId="4" fillId="34" borderId="10" xfId="57" applyNumberFormat="1" applyFont="1" applyFill="1" applyBorder="1" applyAlignment="1" applyProtection="1">
      <alignment horizontal="right"/>
      <protection hidden="1"/>
    </xf>
    <xf numFmtId="49" fontId="6" fillId="34" borderId="10" xfId="57" applyNumberFormat="1" applyFont="1" applyFill="1" applyBorder="1" applyAlignment="1" applyProtection="1">
      <alignment horizontal="center" wrapText="1"/>
      <protection hidden="1"/>
    </xf>
    <xf numFmtId="0" fontId="9" fillId="0" borderId="10" xfId="57" applyFont="1" applyFill="1" applyBorder="1" applyAlignment="1" applyProtection="1">
      <alignment horizontal="left" vertical="center" wrapText="1"/>
      <protection hidden="1"/>
    </xf>
    <xf numFmtId="0" fontId="9" fillId="0" borderId="10" xfId="57" applyFont="1" applyFill="1" applyBorder="1" applyAlignment="1" applyProtection="1">
      <alignment horizontal="left" wrapText="1"/>
      <protection hidden="1"/>
    </xf>
    <xf numFmtId="49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wrapText="1"/>
      <protection hidden="1"/>
    </xf>
    <xf numFmtId="0" fontId="6" fillId="0" borderId="10" xfId="57" applyFont="1" applyFill="1" applyBorder="1" applyProtection="1">
      <alignment/>
      <protection hidden="1"/>
    </xf>
    <xf numFmtId="0" fontId="9" fillId="0" borderId="10" xfId="57" applyFont="1" applyFill="1" applyBorder="1" applyAlignment="1" applyProtection="1">
      <alignment horizontal="left" vertical="center" wrapText="1"/>
      <protection hidden="1"/>
    </xf>
    <xf numFmtId="0" fontId="6" fillId="0" borderId="10" xfId="57" applyFont="1" applyFill="1" applyBorder="1" applyAlignment="1" applyProtection="1">
      <alignment horizontal="center"/>
      <protection hidden="1"/>
    </xf>
    <xf numFmtId="0" fontId="25" fillId="0" borderId="10" xfId="57" applyFont="1" applyFill="1" applyBorder="1" applyAlignment="1" applyProtection="1">
      <alignment horizontal="left" vertical="center" wrapText="1"/>
      <protection hidden="1"/>
    </xf>
    <xf numFmtId="49" fontId="8" fillId="0" borderId="10" xfId="57" applyNumberFormat="1" applyFont="1" applyFill="1" applyBorder="1" applyAlignment="1" applyProtection="1">
      <alignment horizontal="center" vertical="center"/>
      <protection hidden="1"/>
    </xf>
    <xf numFmtId="49" fontId="3" fillId="0" borderId="10" xfId="57" applyNumberFormat="1" applyFont="1" applyFill="1" applyBorder="1" applyAlignment="1" applyProtection="1">
      <alignment horizontal="center" vertical="center"/>
      <protection hidden="1"/>
    </xf>
    <xf numFmtId="172" fontId="4" fillId="0" borderId="10" xfId="57" applyNumberFormat="1" applyFont="1" applyFill="1" applyBorder="1" applyAlignment="1" applyProtection="1">
      <alignment horizontal="right"/>
      <protection hidden="1"/>
    </xf>
    <xf numFmtId="49" fontId="6" fillId="0" borderId="10" xfId="57" applyNumberFormat="1" applyFont="1" applyFill="1" applyBorder="1" applyAlignment="1" applyProtection="1">
      <alignment horizontal="center" vertical="center"/>
      <protection hidden="1"/>
    </xf>
    <xf numFmtId="0" fontId="5" fillId="4" borderId="14" xfId="57" applyFont="1" applyFill="1" applyBorder="1" applyAlignment="1" applyProtection="1">
      <alignment horizontal="left" vertical="center" wrapText="1"/>
      <protection hidden="1"/>
    </xf>
    <xf numFmtId="49" fontId="5" fillId="4" borderId="14" xfId="57" applyNumberFormat="1" applyFont="1" applyFill="1" applyBorder="1" applyAlignment="1" applyProtection="1">
      <alignment horizontal="center" vertical="center"/>
      <protection hidden="1"/>
    </xf>
    <xf numFmtId="172" fontId="4" fillId="4" borderId="14" xfId="57" applyNumberFormat="1" applyFont="1" applyFill="1" applyBorder="1" applyAlignment="1" applyProtection="1">
      <alignment horizontal="right" vertical="center"/>
      <protection hidden="1"/>
    </xf>
    <xf numFmtId="186" fontId="12" fillId="0" borderId="10" xfId="0" applyNumberFormat="1" applyFont="1" applyFill="1" applyBorder="1" applyAlignment="1" applyProtection="1">
      <alignment/>
      <protection hidden="1"/>
    </xf>
    <xf numFmtId="0" fontId="6" fillId="0" borderId="0" xfId="57" applyFont="1" applyFill="1" applyBorder="1" applyAlignment="1" applyProtection="1">
      <alignment horizontal="left" vertical="center" wrapText="1"/>
      <protection hidden="1"/>
    </xf>
    <xf numFmtId="172" fontId="34" fillId="0" borderId="10" xfId="57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>
      <alignment wrapText="1"/>
    </xf>
    <xf numFmtId="0" fontId="6" fillId="0" borderId="10" xfId="57" applyNumberFormat="1" applyFont="1" applyFill="1" applyBorder="1" applyAlignment="1" applyProtection="1">
      <alignment horizontal="left" wrapText="1"/>
      <protection hidden="1"/>
    </xf>
    <xf numFmtId="0" fontId="9" fillId="0" borderId="0" xfId="55" applyFont="1" applyFill="1">
      <alignment/>
      <protection/>
    </xf>
    <xf numFmtId="0" fontId="9" fillId="0" borderId="0" xfId="55" applyFont="1" applyFill="1" applyAlignment="1">
      <alignment horizontal="left"/>
      <protection/>
    </xf>
    <xf numFmtId="0" fontId="9" fillId="0" borderId="0" xfId="55" applyFont="1" applyFill="1" applyAlignment="1">
      <alignment/>
      <protection/>
    </xf>
    <xf numFmtId="0" fontId="5" fillId="0" borderId="0" xfId="55" applyFont="1" applyFill="1">
      <alignment/>
      <protection/>
    </xf>
    <xf numFmtId="0" fontId="9" fillId="0" borderId="0" xfId="54" applyFont="1" applyFill="1">
      <alignment/>
      <protection/>
    </xf>
    <xf numFmtId="0" fontId="9" fillId="0" borderId="22" xfId="54" applyFont="1" applyFill="1" applyBorder="1" applyAlignment="1">
      <alignment horizontal="center" vertical="center" textRotation="90" wrapText="1"/>
      <protection/>
    </xf>
    <xf numFmtId="0" fontId="9" fillId="0" borderId="23" xfId="54" applyFont="1" applyFill="1" applyBorder="1" applyAlignment="1">
      <alignment horizontal="center" vertical="center" textRotation="90" wrapText="1"/>
      <protection/>
    </xf>
    <xf numFmtId="0" fontId="9" fillId="0" borderId="25" xfId="54" applyFont="1" applyFill="1" applyBorder="1" applyAlignment="1">
      <alignment horizontal="center"/>
      <protection/>
    </xf>
    <xf numFmtId="0" fontId="9" fillId="0" borderId="0" xfId="54" applyFont="1" applyFill="1" applyBorder="1">
      <alignment/>
      <protection/>
    </xf>
    <xf numFmtId="0" fontId="9" fillId="0" borderId="0" xfId="54" applyFont="1" applyFill="1" applyBorder="1" applyAlignment="1">
      <alignment wrapText="1"/>
      <protection/>
    </xf>
    <xf numFmtId="0" fontId="9" fillId="0" borderId="11" xfId="54" applyFont="1" applyFill="1" applyBorder="1" applyAlignment="1">
      <alignment horizontal="center" vertical="top"/>
      <protection/>
    </xf>
    <xf numFmtId="0" fontId="9" fillId="0" borderId="11" xfId="54" applyFont="1" applyFill="1" applyBorder="1" applyAlignment="1">
      <alignment vertical="top" wrapText="1"/>
      <protection/>
    </xf>
    <xf numFmtId="3" fontId="9" fillId="0" borderId="11" xfId="54" applyNumberFormat="1" applyFont="1" applyFill="1" applyBorder="1" applyAlignment="1">
      <alignment horizontal="right" vertical="top"/>
      <protection/>
    </xf>
    <xf numFmtId="14" fontId="9" fillId="0" borderId="11" xfId="54" applyNumberFormat="1" applyFont="1" applyFill="1" applyBorder="1" applyAlignment="1">
      <alignment vertical="top"/>
      <protection/>
    </xf>
    <xf numFmtId="3" fontId="35" fillId="0" borderId="11" xfId="54" applyNumberFormat="1" applyFont="1" applyFill="1" applyBorder="1" applyAlignment="1">
      <alignment horizontal="right" vertical="top"/>
      <protection/>
    </xf>
    <xf numFmtId="0" fontId="9" fillId="0" borderId="11" xfId="54" applyFont="1" applyFill="1" applyBorder="1">
      <alignment/>
      <protection/>
    </xf>
    <xf numFmtId="0" fontId="5" fillId="0" borderId="11" xfId="54" applyFont="1" applyFill="1" applyBorder="1">
      <alignment/>
      <protection/>
    </xf>
    <xf numFmtId="3" fontId="5" fillId="0" borderId="11" xfId="54" applyNumberFormat="1" applyFont="1" applyFill="1" applyBorder="1" applyAlignment="1">
      <alignment horizontal="right"/>
      <protection/>
    </xf>
    <xf numFmtId="4" fontId="6" fillId="0" borderId="0" xfId="57" applyNumberFormat="1" applyFont="1" applyFill="1" applyProtection="1">
      <alignment/>
      <protection hidden="1"/>
    </xf>
    <xf numFmtId="0" fontId="6" fillId="0" borderId="0" xfId="57" applyFont="1" applyFill="1" applyProtection="1">
      <alignment/>
      <protection hidden="1"/>
    </xf>
    <xf numFmtId="0" fontId="6" fillId="0" borderId="0" xfId="57" applyFont="1" applyFill="1" applyBorder="1" applyAlignment="1" applyProtection="1">
      <alignment horizontal="right" vertical="center"/>
      <protection hidden="1"/>
    </xf>
    <xf numFmtId="0" fontId="3" fillId="0" borderId="26" xfId="57" applyFont="1" applyFill="1" applyBorder="1" applyProtection="1">
      <alignment/>
      <protection hidden="1"/>
    </xf>
    <xf numFmtId="0" fontId="0" fillId="0" borderId="27" xfId="57" applyFont="1" applyFill="1" applyBorder="1" applyProtection="1">
      <alignment/>
      <protection hidden="1"/>
    </xf>
    <xf numFmtId="4" fontId="16" fillId="0" borderId="28" xfId="57" applyNumberFormat="1" applyFont="1" applyFill="1" applyBorder="1" applyAlignment="1" applyProtection="1">
      <alignment horizontal="center" vertical="center" wrapText="1"/>
      <protection hidden="1"/>
    </xf>
    <xf numFmtId="172" fontId="3" fillId="0" borderId="12" xfId="57" applyNumberFormat="1" applyFont="1" applyFill="1" applyBorder="1" applyAlignment="1" applyProtection="1">
      <alignment horizontal="right"/>
      <protection hidden="1"/>
    </xf>
    <xf numFmtId="4" fontId="6" fillId="0" borderId="10" xfId="57" applyNumberFormat="1" applyFont="1" applyFill="1" applyBorder="1" applyProtection="1">
      <alignment/>
      <protection hidden="1"/>
    </xf>
    <xf numFmtId="4" fontId="16" fillId="0" borderId="29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justify" vertical="top" wrapText="1"/>
      <protection hidden="1"/>
    </xf>
    <xf numFmtId="172" fontId="12" fillId="0" borderId="10" xfId="0" applyNumberFormat="1" applyFont="1" applyFill="1" applyBorder="1" applyAlignment="1" applyProtection="1">
      <alignment/>
      <protection hidden="1"/>
    </xf>
    <xf numFmtId="3" fontId="9" fillId="0" borderId="0" xfId="0" applyNumberFormat="1" applyFont="1" applyAlignment="1">
      <alignment/>
    </xf>
    <xf numFmtId="0" fontId="3" fillId="0" borderId="0" xfId="0" applyFont="1" applyAlignment="1">
      <alignment/>
    </xf>
    <xf numFmtId="172" fontId="4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49" fontId="10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49" fontId="10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6" fillId="0" borderId="10" xfId="0" applyFont="1" applyFill="1" applyBorder="1" applyAlignment="1">
      <alignment horizontal="center" vertical="top" wrapText="1"/>
    </xf>
    <xf numFmtId="180" fontId="35" fillId="0" borderId="10" xfId="0" applyNumberFormat="1" applyFont="1" applyFill="1" applyBorder="1" applyAlignment="1" applyProtection="1">
      <alignment/>
      <protection locked="0"/>
    </xf>
    <xf numFmtId="180" fontId="9" fillId="0" borderId="10" xfId="0" applyNumberFormat="1" applyFont="1" applyFill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justify" vertical="top" wrapText="1"/>
      <protection hidden="1"/>
    </xf>
    <xf numFmtId="0" fontId="9" fillId="0" borderId="0" xfId="0" applyFont="1" applyFill="1" applyBorder="1" applyAlignment="1">
      <alignment/>
    </xf>
    <xf numFmtId="0" fontId="16" fillId="0" borderId="0" xfId="0" applyFont="1" applyBorder="1" applyAlignment="1" applyProtection="1">
      <alignment horizontal="justify" vertical="top" wrapText="1"/>
      <protection hidden="1"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9" fontId="3" fillId="32" borderId="0" xfId="57" applyNumberFormat="1" applyFont="1" applyFill="1" applyAlignment="1" applyProtection="1">
      <alignment horizontal="center" vertical="center"/>
      <protection hidden="1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3" fillId="0" borderId="0" xfId="0" applyFont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41" fillId="0" borderId="0" xfId="0" applyNumberFormat="1" applyFont="1" applyAlignment="1">
      <alignment/>
    </xf>
    <xf numFmtId="4" fontId="39" fillId="0" borderId="0" xfId="0" applyNumberFormat="1" applyFont="1" applyAlignment="1">
      <alignment horizontal="center"/>
    </xf>
    <xf numFmtId="0" fontId="33" fillId="0" borderId="0" xfId="0" applyFont="1" applyAlignment="1">
      <alignment horizontal="left" vertical="top"/>
    </xf>
    <xf numFmtId="0" fontId="43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/>
    </xf>
    <xf numFmtId="3" fontId="48" fillId="0" borderId="11" xfId="0" applyNumberFormat="1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textRotation="90" wrapText="1"/>
    </xf>
    <xf numFmtId="0" fontId="33" fillId="0" borderId="30" xfId="0" applyFont="1" applyBorder="1" applyAlignment="1">
      <alignment horizontal="center" vertical="center" textRotation="90" wrapText="1"/>
    </xf>
    <xf numFmtId="4" fontId="33" fillId="0" borderId="30" xfId="0" applyNumberFormat="1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4" fontId="49" fillId="0" borderId="25" xfId="0" applyNumberFormat="1" applyFont="1" applyFill="1" applyBorder="1" applyAlignment="1">
      <alignment horizontal="center" vertical="center"/>
    </xf>
    <xf numFmtId="0" fontId="50" fillId="0" borderId="25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/>
    </xf>
    <xf numFmtId="49" fontId="50" fillId="4" borderId="11" xfId="0" applyNumberFormat="1" applyFont="1" applyFill="1" applyBorder="1" applyAlignment="1">
      <alignment/>
    </xf>
    <xf numFmtId="0" fontId="50" fillId="4" borderId="11" xfId="0" applyFont="1" applyFill="1" applyBorder="1" applyAlignment="1">
      <alignment/>
    </xf>
    <xf numFmtId="0" fontId="51" fillId="4" borderId="11" xfId="0" applyFont="1" applyFill="1" applyBorder="1" applyAlignment="1">
      <alignment/>
    </xf>
    <xf numFmtId="14" fontId="52" fillId="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vertical="top"/>
    </xf>
    <xf numFmtId="49" fontId="53" fillId="35" borderId="11" xfId="0" applyNumberFormat="1" applyFont="1" applyFill="1" applyBorder="1" applyAlignment="1">
      <alignment horizontal="center" vertical="center"/>
    </xf>
    <xf numFmtId="4" fontId="53" fillId="35" borderId="11" xfId="0" applyNumberFormat="1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/>
    </xf>
    <xf numFmtId="0" fontId="51" fillId="35" borderId="11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" fontId="52" fillId="4" borderId="11" xfId="0" applyNumberFormat="1" applyFont="1" applyFill="1" applyBorder="1" applyAlignment="1">
      <alignment/>
    </xf>
    <xf numFmtId="0" fontId="49" fillId="33" borderId="11" xfId="0" applyFont="1" applyFill="1" applyBorder="1" applyAlignment="1">
      <alignment vertical="center" wrapText="1"/>
    </xf>
    <xf numFmtId="0" fontId="52" fillId="4" borderId="11" xfId="0" applyFont="1" applyFill="1" applyBorder="1" applyAlignment="1">
      <alignment/>
    </xf>
    <xf numFmtId="3" fontId="3" fillId="35" borderId="11" xfId="0" applyNumberFormat="1" applyFont="1" applyFill="1" applyBorder="1" applyAlignment="1">
      <alignment vertical="center"/>
    </xf>
    <xf numFmtId="49" fontId="53" fillId="35" borderId="11" xfId="0" applyNumberFormat="1" applyFont="1" applyFill="1" applyBorder="1" applyAlignment="1">
      <alignment horizontal="center" vertical="center" wrapText="1"/>
    </xf>
    <xf numFmtId="49" fontId="50" fillId="35" borderId="11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/>
    </xf>
    <xf numFmtId="3" fontId="48" fillId="34" borderId="11" xfId="0" applyNumberFormat="1" applyFont="1" applyFill="1" applyBorder="1" applyAlignment="1">
      <alignment/>
    </xf>
    <xf numFmtId="49" fontId="49" fillId="34" borderId="11" xfId="0" applyNumberFormat="1" applyFont="1" applyFill="1" applyBorder="1" applyAlignment="1">
      <alignment horizontal="center"/>
    </xf>
    <xf numFmtId="4" fontId="53" fillId="34" borderId="11" xfId="0" applyNumberFormat="1" applyFont="1" applyFill="1" applyBorder="1" applyAlignment="1">
      <alignment horizontal="center" vertical="center"/>
    </xf>
    <xf numFmtId="49" fontId="50" fillId="34" borderId="11" xfId="0" applyNumberFormat="1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50" fillId="0" borderId="0" xfId="0" applyFont="1" applyAlignment="1">
      <alignment horizontal="left" vertical="center" wrapText="1"/>
    </xf>
    <xf numFmtId="16" fontId="50" fillId="4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vertical="center"/>
    </xf>
    <xf numFmtId="4" fontId="49" fillId="33" borderId="11" xfId="0" applyNumberFormat="1" applyFont="1" applyFill="1" applyBorder="1" applyAlignment="1">
      <alignment horizontal="center" vertical="center"/>
    </xf>
    <xf numFmtId="49" fontId="33" fillId="4" borderId="11" xfId="0" applyNumberFormat="1" applyFont="1" applyFill="1" applyBorder="1" applyAlignment="1">
      <alignment/>
    </xf>
    <xf numFmtId="0" fontId="33" fillId="4" borderId="11" xfId="0" applyFont="1" applyFill="1" applyBorder="1" applyAlignment="1">
      <alignment/>
    </xf>
    <xf numFmtId="0" fontId="54" fillId="4" borderId="11" xfId="0" applyFont="1" applyFill="1" applyBorder="1" applyAlignment="1">
      <alignment/>
    </xf>
    <xf numFmtId="3" fontId="4" fillId="34" borderId="11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49" fontId="50" fillId="34" borderId="1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3" fontId="48" fillId="34" borderId="11" xfId="0" applyNumberFormat="1" applyFont="1" applyFill="1" applyBorder="1" applyAlignment="1">
      <alignment horizontal="center" vertical="center"/>
    </xf>
    <xf numFmtId="3" fontId="53" fillId="0" borderId="11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16" fontId="33" fillId="4" borderId="11" xfId="0" applyNumberFormat="1" applyFont="1" applyFill="1" applyBorder="1" applyAlignment="1">
      <alignment/>
    </xf>
    <xf numFmtId="14" fontId="54" fillId="4" borderId="11" xfId="0" applyNumberFormat="1" applyFont="1" applyFill="1" applyBorder="1" applyAlignment="1">
      <alignment/>
    </xf>
    <xf numFmtId="3" fontId="49" fillId="35" borderId="11" xfId="0" applyNumberFormat="1" applyFont="1" applyFill="1" applyBorder="1" applyAlignment="1">
      <alignment vertical="center"/>
    </xf>
    <xf numFmtId="49" fontId="33" fillId="35" borderId="11" xfId="0" applyNumberFormat="1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/>
    </xf>
    <xf numFmtId="0" fontId="54" fillId="35" borderId="11" xfId="0" applyFont="1" applyFill="1" applyBorder="1" applyAlignment="1">
      <alignment/>
    </xf>
    <xf numFmtId="3" fontId="53" fillId="33" borderId="11" xfId="0" applyNumberFormat="1" applyFont="1" applyFill="1" applyBorder="1" applyAlignment="1">
      <alignment horizontal="center" vertical="center"/>
    </xf>
    <xf numFmtId="16" fontId="54" fillId="4" borderId="11" xfId="0" applyNumberFormat="1" applyFont="1" applyFill="1" applyBorder="1" applyAlignment="1">
      <alignment/>
    </xf>
    <xf numFmtId="3" fontId="49" fillId="35" borderId="11" xfId="0" applyNumberFormat="1" applyFont="1" applyFill="1" applyBorder="1" applyAlignment="1">
      <alignment vertical="top"/>
    </xf>
    <xf numFmtId="0" fontId="49" fillId="33" borderId="11" xfId="0" applyFont="1" applyFill="1" applyBorder="1" applyAlignment="1">
      <alignment/>
    </xf>
    <xf numFmtId="3" fontId="53" fillId="34" borderId="11" xfId="0" applyNumberFormat="1" applyFont="1" applyFill="1" applyBorder="1" applyAlignment="1">
      <alignment horizontal="center" vertical="center"/>
    </xf>
    <xf numFmtId="3" fontId="53" fillId="0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9" fontId="33" fillId="4" borderId="11" xfId="0" applyNumberFormat="1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top"/>
    </xf>
    <xf numFmtId="49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16" fontId="33" fillId="4" borderId="11" xfId="0" applyNumberFormat="1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171" fontId="53" fillId="34" borderId="11" xfId="65" applyFont="1" applyFill="1" applyBorder="1" applyAlignment="1">
      <alignment horizontal="center" vertical="center"/>
    </xf>
    <xf numFmtId="49" fontId="56" fillId="34" borderId="11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58" fillId="0" borderId="0" xfId="0" applyFont="1" applyBorder="1" applyAlignment="1">
      <alignment/>
    </xf>
    <xf numFmtId="190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33" fillId="0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4" fontId="33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4" fontId="6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4" fontId="62" fillId="33" borderId="0" xfId="0" applyNumberFormat="1" applyFont="1" applyFill="1" applyAlignment="1">
      <alignment/>
    </xf>
    <xf numFmtId="4" fontId="59" fillId="33" borderId="0" xfId="0" applyNumberFormat="1" applyFont="1" applyFill="1" applyAlignment="1">
      <alignment/>
    </xf>
    <xf numFmtId="4" fontId="60" fillId="0" borderId="0" xfId="0" applyNumberFormat="1" applyFont="1" applyFill="1" applyAlignment="1">
      <alignment/>
    </xf>
    <xf numFmtId="4" fontId="63" fillId="0" borderId="0" xfId="0" applyNumberFormat="1" applyFont="1" applyAlignment="1">
      <alignment/>
    </xf>
    <xf numFmtId="0" fontId="33" fillId="0" borderId="0" xfId="0" applyFont="1" applyFill="1" applyAlignment="1">
      <alignment horizontal="right" vertical="center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3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38" fillId="0" borderId="0" xfId="0" applyNumberFormat="1" applyFont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1" fontId="38" fillId="0" borderId="0" xfId="0" applyNumberFormat="1" applyFont="1" applyBorder="1" applyAlignment="1">
      <alignment/>
    </xf>
    <xf numFmtId="4" fontId="64" fillId="0" borderId="0" xfId="0" applyNumberFormat="1" applyFont="1" applyFill="1" applyBorder="1" applyAlignment="1">
      <alignment/>
    </xf>
    <xf numFmtId="4" fontId="65" fillId="0" borderId="0" xfId="0" applyNumberFormat="1" applyFont="1" applyBorder="1" applyAlignment="1">
      <alignment/>
    </xf>
    <xf numFmtId="4" fontId="65" fillId="0" borderId="0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4" fontId="38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66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12" fillId="0" borderId="0" xfId="57" applyFont="1" applyFill="1" applyProtection="1">
      <alignment/>
      <protection hidden="1"/>
    </xf>
    <xf numFmtId="172" fontId="12" fillId="0" borderId="31" xfId="0" applyNumberFormat="1" applyFont="1" applyFill="1" applyBorder="1" applyAlignment="1" applyProtection="1">
      <alignment/>
      <protection hidden="1"/>
    </xf>
    <xf numFmtId="172" fontId="3" fillId="0" borderId="32" xfId="0" applyNumberFormat="1" applyFont="1" applyFill="1" applyBorder="1" applyAlignment="1" applyProtection="1">
      <alignment horizontal="right"/>
      <protection hidden="1"/>
    </xf>
    <xf numFmtId="172" fontId="12" fillId="0" borderId="33" xfId="0" applyNumberFormat="1" applyFont="1" applyFill="1" applyBorder="1" applyAlignment="1" applyProtection="1">
      <alignment/>
      <protection hidden="1"/>
    </xf>
    <xf numFmtId="172" fontId="12" fillId="0" borderId="34" xfId="0" applyNumberFormat="1" applyFont="1" applyFill="1" applyBorder="1" applyAlignment="1" applyProtection="1">
      <alignment/>
      <protection hidden="1"/>
    </xf>
    <xf numFmtId="0" fontId="10" fillId="0" borderId="35" xfId="0" applyFont="1" applyBorder="1" applyAlignment="1" applyProtection="1">
      <alignment horizontal="justify" vertical="top" wrapText="1"/>
      <protection hidden="1"/>
    </xf>
    <xf numFmtId="172" fontId="4" fillId="0" borderId="36" xfId="57" applyNumberFormat="1" applyFont="1" applyFill="1" applyBorder="1" applyAlignment="1" applyProtection="1">
      <alignment horizontal="right" vertical="center"/>
      <protection hidden="1"/>
    </xf>
    <xf numFmtId="172" fontId="13" fillId="0" borderId="36" xfId="57" applyNumberFormat="1" applyFont="1" applyFill="1" applyBorder="1" applyAlignment="1" applyProtection="1">
      <alignment horizontal="right" vertical="center"/>
      <protection hidden="1"/>
    </xf>
    <xf numFmtId="172" fontId="12" fillId="0" borderId="36" xfId="0" applyNumberFormat="1" applyFont="1" applyFill="1" applyBorder="1" applyAlignment="1" applyProtection="1">
      <alignment horizontal="right"/>
      <protection hidden="1"/>
    </xf>
    <xf numFmtId="172" fontId="3" fillId="0" borderId="36" xfId="0" applyNumberFormat="1" applyFont="1" applyFill="1" applyBorder="1" applyAlignment="1" applyProtection="1">
      <alignment horizontal="right"/>
      <protection hidden="1"/>
    </xf>
    <xf numFmtId="172" fontId="12" fillId="0" borderId="36" xfId="0" applyNumberFormat="1" applyFont="1" applyFill="1" applyBorder="1" applyAlignment="1" applyProtection="1">
      <alignment/>
      <protection hidden="1"/>
    </xf>
    <xf numFmtId="172" fontId="3" fillId="0" borderId="36" xfId="0" applyNumberFormat="1" applyFont="1" applyFill="1" applyBorder="1" applyAlignment="1" applyProtection="1">
      <alignment/>
      <protection hidden="1"/>
    </xf>
    <xf numFmtId="172" fontId="12" fillId="0" borderId="36" xfId="0" applyNumberFormat="1" applyFont="1" applyFill="1" applyBorder="1" applyAlignment="1" applyProtection="1">
      <alignment/>
      <protection hidden="1"/>
    </xf>
    <xf numFmtId="172" fontId="12" fillId="0" borderId="36" xfId="57" applyNumberFormat="1" applyFont="1" applyFill="1" applyBorder="1" applyAlignment="1" applyProtection="1">
      <alignment horizontal="right" vertical="center"/>
      <protection hidden="1"/>
    </xf>
    <xf numFmtId="172" fontId="12" fillId="0" borderId="37" xfId="0" applyNumberFormat="1" applyFont="1" applyFill="1" applyBorder="1" applyAlignment="1" applyProtection="1">
      <alignment/>
      <protection hidden="1"/>
    </xf>
    <xf numFmtId="172" fontId="12" fillId="0" borderId="38" xfId="0" applyNumberFormat="1" applyFont="1" applyFill="1" applyBorder="1" applyAlignment="1" applyProtection="1">
      <alignment/>
      <protection hidden="1"/>
    </xf>
    <xf numFmtId="172" fontId="12" fillId="0" borderId="16" xfId="0" applyNumberFormat="1" applyFont="1" applyFill="1" applyBorder="1" applyAlignment="1" applyProtection="1">
      <alignment/>
      <protection hidden="1"/>
    </xf>
    <xf numFmtId="172" fontId="3" fillId="0" borderId="39" xfId="0" applyNumberFormat="1" applyFont="1" applyFill="1" applyBorder="1" applyAlignment="1" applyProtection="1">
      <alignment horizontal="right"/>
      <protection hidden="1"/>
    </xf>
    <xf numFmtId="0" fontId="16" fillId="0" borderId="24" xfId="0" applyFont="1" applyFill="1" applyBorder="1" applyAlignment="1">
      <alignment horizontal="center" vertical="top" wrapText="1"/>
    </xf>
    <xf numFmtId="0" fontId="30" fillId="0" borderId="24" xfId="0" applyFont="1" applyBorder="1" applyAlignment="1" applyProtection="1">
      <alignment horizontal="justify" vertical="top" wrapText="1"/>
      <protection hidden="1"/>
    </xf>
    <xf numFmtId="180" fontId="35" fillId="0" borderId="14" xfId="0" applyNumberFormat="1" applyFont="1" applyFill="1" applyBorder="1" applyAlignment="1" applyProtection="1">
      <alignment/>
      <protection locked="0"/>
    </xf>
    <xf numFmtId="0" fontId="18" fillId="0" borderId="15" xfId="0" applyFont="1" applyFill="1" applyBorder="1" applyAlignment="1" applyProtection="1">
      <alignment horizontal="center" vertical="top" wrapText="1"/>
      <protection hidden="1"/>
    </xf>
    <xf numFmtId="0" fontId="10" fillId="0" borderId="15" xfId="0" applyFont="1" applyFill="1" applyBorder="1" applyAlignment="1" applyProtection="1">
      <alignment horizontal="center" vertical="top" wrapText="1"/>
      <protection hidden="1"/>
    </xf>
    <xf numFmtId="0" fontId="10" fillId="0" borderId="40" xfId="0" applyFont="1" applyFill="1" applyBorder="1" applyAlignment="1" applyProtection="1">
      <alignment horizontal="center" vertical="top" wrapText="1"/>
      <protection hidden="1"/>
    </xf>
    <xf numFmtId="0" fontId="18" fillId="0" borderId="15" xfId="0" applyFont="1" applyBorder="1" applyAlignment="1" applyProtection="1">
      <alignment horizontal="justify" vertical="top" wrapText="1"/>
      <protection hidden="1"/>
    </xf>
    <xf numFmtId="180" fontId="35" fillId="0" borderId="36" xfId="0" applyNumberFormat="1" applyFont="1" applyFill="1" applyBorder="1" applyAlignment="1" applyProtection="1">
      <alignment/>
      <protection locked="0"/>
    </xf>
    <xf numFmtId="0" fontId="29" fillId="0" borderId="15" xfId="0" applyFont="1" applyBorder="1" applyAlignment="1" applyProtection="1">
      <alignment horizontal="justify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180" fontId="9" fillId="0" borderId="36" xfId="0" applyNumberFormat="1" applyFont="1" applyFill="1" applyBorder="1" applyAlignment="1" applyProtection="1">
      <alignment/>
      <protection locked="0"/>
    </xf>
    <xf numFmtId="0" fontId="16" fillId="0" borderId="21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37" fillId="0" borderId="35" xfId="0" applyFont="1" applyBorder="1" applyAlignment="1" applyProtection="1">
      <alignment horizontal="justify" vertical="top" wrapText="1"/>
      <protection hidden="1"/>
    </xf>
    <xf numFmtId="180" fontId="35" fillId="0" borderId="35" xfId="0" applyNumberFormat="1" applyFont="1" applyFill="1" applyBorder="1" applyAlignment="1" applyProtection="1">
      <alignment/>
      <protection locked="0"/>
    </xf>
    <xf numFmtId="180" fontId="35" fillId="0" borderId="4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36" fillId="0" borderId="0" xfId="55" applyFont="1" applyFill="1">
      <alignment/>
      <protection/>
    </xf>
    <xf numFmtId="0" fontId="67" fillId="0" borderId="0" xfId="56" applyFill="1">
      <alignment/>
      <protection/>
    </xf>
    <xf numFmtId="0" fontId="67" fillId="0" borderId="11" xfId="56" applyFill="1" applyBorder="1">
      <alignment/>
      <protection/>
    </xf>
    <xf numFmtId="0" fontId="9" fillId="0" borderId="11" xfId="54" applyFont="1" applyFill="1" applyBorder="1" applyAlignment="1">
      <alignment horizontal="center" vertical="top" wrapText="1"/>
      <protection/>
    </xf>
    <xf numFmtId="3" fontId="5" fillId="0" borderId="11" xfId="54" applyNumberFormat="1" applyFont="1" applyFill="1" applyBorder="1" applyAlignment="1">
      <alignment horizontal="right" vertical="top"/>
      <protection/>
    </xf>
    <xf numFmtId="0" fontId="9" fillId="0" borderId="0" xfId="54" applyFont="1" applyFill="1" applyBorder="1" applyAlignment="1">
      <alignment horizontal="center" vertical="top"/>
      <protection/>
    </xf>
    <xf numFmtId="0" fontId="9" fillId="0" borderId="0" xfId="54" applyFont="1" applyFill="1" applyBorder="1" applyAlignment="1">
      <alignment vertical="top" wrapText="1"/>
      <protection/>
    </xf>
    <xf numFmtId="0" fontId="9" fillId="0" borderId="0" xfId="54" applyFont="1" applyFill="1" applyBorder="1" applyAlignment="1">
      <alignment horizontal="center" vertical="top" wrapText="1"/>
      <protection/>
    </xf>
    <xf numFmtId="3" fontId="9" fillId="0" borderId="0" xfId="54" applyNumberFormat="1" applyFont="1" applyFill="1" applyBorder="1" applyAlignment="1">
      <alignment horizontal="right" vertical="top"/>
      <protection/>
    </xf>
    <xf numFmtId="49" fontId="9" fillId="0" borderId="0" xfId="54" applyNumberFormat="1" applyFont="1" applyFill="1" applyBorder="1" applyAlignment="1">
      <alignment horizontal="center" vertical="top" wrapText="1"/>
      <protection/>
    </xf>
    <xf numFmtId="3" fontId="35" fillId="0" borderId="0" xfId="54" applyNumberFormat="1" applyFont="1" applyFill="1" applyBorder="1" applyAlignment="1">
      <alignment horizontal="right" vertical="top"/>
      <protection/>
    </xf>
    <xf numFmtId="0" fontId="67" fillId="0" borderId="0" xfId="56" applyFill="1" applyBorder="1">
      <alignment/>
      <protection/>
    </xf>
    <xf numFmtId="3" fontId="5" fillId="0" borderId="0" xfId="54" applyNumberFormat="1" applyFont="1" applyFill="1" applyBorder="1" applyAlignment="1">
      <alignment horizontal="right" vertical="top"/>
      <protection/>
    </xf>
    <xf numFmtId="49" fontId="9" fillId="0" borderId="11" xfId="54" applyNumberFormat="1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49" fontId="9" fillId="0" borderId="0" xfId="57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49" fontId="18" fillId="0" borderId="42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44" xfId="0" applyFont="1" applyFill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left" vertical="center" wrapText="1"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180" fontId="16" fillId="0" borderId="11" xfId="0" applyNumberFormat="1" applyFont="1" applyBorder="1" applyAlignment="1">
      <alignment vertical="center" wrapText="1"/>
    </xf>
    <xf numFmtId="172" fontId="6" fillId="0" borderId="11" xfId="0" applyNumberFormat="1" applyFont="1" applyBorder="1" applyAlignment="1" applyProtection="1">
      <alignment horizontal="center" vertical="center"/>
      <protection hidden="1"/>
    </xf>
    <xf numFmtId="49" fontId="8" fillId="0" borderId="11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172" fontId="68" fillId="0" borderId="11" xfId="0" applyNumberFormat="1" applyFont="1" applyBorder="1" applyAlignment="1" applyProtection="1">
      <alignment horizontal="right" vertical="center" wrapText="1"/>
      <protection hidden="1"/>
    </xf>
    <xf numFmtId="49" fontId="6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vertical="center" wrapText="1"/>
      <protection hidden="1"/>
    </xf>
    <xf numFmtId="172" fontId="69" fillId="0" borderId="11" xfId="0" applyNumberFormat="1" applyFont="1" applyBorder="1" applyAlignment="1" applyProtection="1">
      <alignment horizontal="right" vertical="center" wrapText="1"/>
      <protection hidden="1"/>
    </xf>
    <xf numFmtId="172" fontId="6" fillId="0" borderId="11" xfId="0" applyNumberFormat="1" applyFont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33" borderId="11" xfId="0" applyFont="1" applyFill="1" applyBorder="1" applyAlignment="1" applyProtection="1">
      <alignment vertical="center" wrapText="1"/>
      <protection hidden="1"/>
    </xf>
    <xf numFmtId="49" fontId="16" fillId="0" borderId="11" xfId="0" applyNumberFormat="1" applyFont="1" applyBorder="1" applyAlignment="1" applyProtection="1">
      <alignment vertical="center" wrapText="1"/>
      <protection hidden="1"/>
    </xf>
    <xf numFmtId="49" fontId="6" fillId="33" borderId="45" xfId="0" applyNumberFormat="1" applyFont="1" applyFill="1" applyBorder="1" applyAlignment="1" applyProtection="1">
      <alignment horizontal="center"/>
      <protection hidden="1"/>
    </xf>
    <xf numFmtId="0" fontId="6" fillId="33" borderId="34" xfId="0" applyFont="1" applyFill="1" applyBorder="1" applyAlignment="1" applyProtection="1">
      <alignment wrapText="1"/>
      <protection hidden="1"/>
    </xf>
    <xf numFmtId="49" fontId="6" fillId="33" borderId="36" xfId="0" applyNumberFormat="1" applyFont="1" applyFill="1" applyBorder="1" applyAlignment="1" applyProtection="1">
      <alignment horizontal="center"/>
      <protection hidden="1"/>
    </xf>
    <xf numFmtId="0" fontId="8" fillId="33" borderId="34" xfId="0" applyFont="1" applyFill="1" applyBorder="1" applyAlignment="1" applyProtection="1">
      <alignment wrapText="1"/>
      <protection hidden="1"/>
    </xf>
    <xf numFmtId="49" fontId="6" fillId="33" borderId="41" xfId="0" applyNumberFormat="1" applyFont="1" applyFill="1" applyBorder="1" applyAlignment="1" applyProtection="1">
      <alignment horizontal="center"/>
      <protection hidden="1"/>
    </xf>
    <xf numFmtId="49" fontId="6" fillId="33" borderId="46" xfId="0" applyNumberFormat="1" applyFont="1" applyFill="1" applyBorder="1" applyAlignment="1" applyProtection="1">
      <alignment horizontal="center"/>
      <protection hidden="1"/>
    </xf>
    <xf numFmtId="49" fontId="6" fillId="33" borderId="47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180" fontId="71" fillId="0" borderId="11" xfId="0" applyNumberFormat="1" applyFont="1" applyBorder="1" applyAlignment="1" applyProtection="1">
      <alignment horizontal="right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 locked="0"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 locked="0"/>
    </xf>
    <xf numFmtId="172" fontId="6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180" fontId="72" fillId="0" borderId="11" xfId="0" applyNumberFormat="1" applyFont="1" applyBorder="1" applyAlignment="1" applyProtection="1">
      <alignment horizontal="right" vertical="center" wrapText="1"/>
      <protection/>
    </xf>
    <xf numFmtId="180" fontId="73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11" xfId="0" applyNumberFormat="1" applyFont="1" applyBorder="1" applyAlignment="1" applyProtection="1">
      <alignment vertical="center" wrapText="1"/>
      <protection hidden="1"/>
    </xf>
    <xf numFmtId="180" fontId="74" fillId="0" borderId="11" xfId="0" applyNumberFormat="1" applyFont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/>
      <protection hidden="1"/>
    </xf>
    <xf numFmtId="49" fontId="6" fillId="33" borderId="11" xfId="0" applyNumberFormat="1" applyFont="1" applyFill="1" applyBorder="1" applyAlignment="1" applyProtection="1">
      <alignment horizontal="center" wrapText="1"/>
      <protection hidden="1"/>
    </xf>
    <xf numFmtId="172" fontId="75" fillId="0" borderId="11" xfId="0" applyNumberFormat="1" applyFont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Border="1" applyAlignment="1" applyProtection="1">
      <alignment horizontal="center" vertical="center" wrapText="1"/>
      <protection hidden="1"/>
    </xf>
    <xf numFmtId="172" fontId="76" fillId="0" borderId="11" xfId="0" applyNumberFormat="1" applyFont="1" applyBorder="1" applyAlignment="1" applyProtection="1">
      <alignment horizontal="right" vertical="center" wrapText="1"/>
      <protection hidden="1"/>
    </xf>
    <xf numFmtId="180" fontId="77" fillId="0" borderId="11" xfId="0" applyNumberFormat="1" applyFont="1" applyBorder="1" applyAlignment="1" applyProtection="1">
      <alignment horizontal="right" vertical="center" wrapText="1"/>
      <protection/>
    </xf>
    <xf numFmtId="49" fontId="28" fillId="0" borderId="48" xfId="53" applyNumberFormat="1" applyFont="1" applyFill="1" applyBorder="1" applyAlignment="1" applyProtection="1">
      <alignment horizontal="left" vertical="top" wrapText="1"/>
      <protection hidden="1" locked="0"/>
    </xf>
    <xf numFmtId="172" fontId="68" fillId="0" borderId="11" xfId="0" applyNumberFormat="1" applyFont="1" applyFill="1" applyBorder="1" applyAlignment="1" applyProtection="1">
      <alignment horizontal="right" vertical="center" wrapText="1"/>
      <protection hidden="1"/>
    </xf>
    <xf numFmtId="172" fontId="69" fillId="0" borderId="11" xfId="0" applyNumberFormat="1" applyFont="1" applyFill="1" applyBorder="1" applyAlignment="1" applyProtection="1">
      <alignment horizontal="right" vertical="center" wrapText="1"/>
      <protection hidden="1"/>
    </xf>
    <xf numFmtId="172" fontId="6" fillId="0" borderId="11" xfId="0" applyNumberFormat="1" applyFont="1" applyFill="1" applyBorder="1" applyAlignment="1" applyProtection="1">
      <alignment horizontal="right" vertical="center" wrapText="1"/>
      <protection hidden="1"/>
    </xf>
    <xf numFmtId="172" fontId="7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6" fillId="33" borderId="11" xfId="0" applyFont="1" applyFill="1" applyBorder="1" applyAlignment="1" applyProtection="1">
      <alignment wrapText="1"/>
      <protection hidden="1"/>
    </xf>
    <xf numFmtId="49" fontId="9" fillId="0" borderId="4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 applyProtection="1">
      <alignment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left" vertical="top" wrapText="1"/>
      <protection hidden="1"/>
    </xf>
    <xf numFmtId="49" fontId="6" fillId="0" borderId="50" xfId="0" applyNumberFormat="1" applyFont="1" applyBorder="1" applyAlignment="1" applyProtection="1">
      <alignment horizontal="center" vertical="center" wrapText="1"/>
      <protection hidden="1"/>
    </xf>
    <xf numFmtId="49" fontId="6" fillId="33" borderId="49" xfId="0" applyNumberFormat="1" applyFont="1" applyFill="1" applyBorder="1" applyAlignment="1" applyProtection="1">
      <alignment horizontal="center"/>
      <protection hidden="1"/>
    </xf>
    <xf numFmtId="49" fontId="6" fillId="33" borderId="51" xfId="0" applyNumberFormat="1" applyFont="1" applyFill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wrapText="1"/>
      <protection hidden="1"/>
    </xf>
    <xf numFmtId="172" fontId="79" fillId="33" borderId="11" xfId="0" applyNumberFormat="1" applyFont="1" applyFill="1" applyBorder="1" applyAlignment="1" applyProtection="1">
      <alignment horizontal="right" vertical="center" wrapText="1"/>
      <protection hidden="1"/>
    </xf>
    <xf numFmtId="172" fontId="6" fillId="0" borderId="11" xfId="0" applyNumberFormat="1" applyFont="1" applyFill="1" applyBorder="1" applyAlignment="1" applyProtection="1">
      <alignment horizontal="right" vertical="center" wrapText="1"/>
      <protection hidden="1"/>
    </xf>
    <xf numFmtId="172" fontId="69" fillId="33" borderId="1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49" fontId="41" fillId="0" borderId="0" xfId="0" applyNumberFormat="1" applyFont="1" applyFill="1" applyAlignment="1">
      <alignment horizontal="center" vertical="top" wrapText="1"/>
    </xf>
    <xf numFmtId="49" fontId="41" fillId="0" borderId="0" xfId="0" applyNumberFormat="1" applyFont="1" applyFill="1" applyAlignment="1">
      <alignment vertical="top"/>
    </xf>
    <xf numFmtId="49" fontId="41" fillId="0" borderId="0" xfId="0" applyNumberFormat="1" applyFont="1" applyFill="1" applyAlignment="1">
      <alignment horizontal="center" vertical="center"/>
    </xf>
    <xf numFmtId="172" fontId="80" fillId="0" borderId="0" xfId="0" applyNumberFormat="1" applyFont="1" applyBorder="1" applyAlignment="1" applyProtection="1">
      <alignment horizontal="center" vertical="center"/>
      <protection hidden="1"/>
    </xf>
    <xf numFmtId="180" fontId="1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vertical="top" wrapText="1"/>
      <protection hidden="1"/>
    </xf>
    <xf numFmtId="49" fontId="6" fillId="33" borderId="11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18" fillId="0" borderId="52" xfId="0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9" fontId="18" fillId="0" borderId="54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vertical="center" wrapText="1"/>
    </xf>
    <xf numFmtId="49" fontId="84" fillId="33" borderId="11" xfId="0" applyNumberFormat="1" applyFont="1" applyFill="1" applyBorder="1" applyAlignment="1">
      <alignment horizontal="left" vertical="center" wrapText="1"/>
    </xf>
    <xf numFmtId="49" fontId="41" fillId="33" borderId="11" xfId="0" applyNumberFormat="1" applyFont="1" applyFill="1" applyBorder="1" applyAlignment="1">
      <alignment horizontal="center" vertical="top" wrapText="1"/>
    </xf>
    <xf numFmtId="172" fontId="85" fillId="0" borderId="11" xfId="0" applyNumberFormat="1" applyFont="1" applyBorder="1" applyAlignment="1" applyProtection="1">
      <alignment horizontal="center" vertical="center"/>
      <protection hidden="1"/>
    </xf>
    <xf numFmtId="0" fontId="18" fillId="33" borderId="11" xfId="0" applyFont="1" applyFill="1" applyBorder="1" applyAlignment="1">
      <alignment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172" fontId="86" fillId="0" borderId="11" xfId="0" applyNumberFormat="1" applyFont="1" applyBorder="1" applyAlignment="1" applyProtection="1">
      <alignment horizontal="center" vertical="center"/>
      <protection hidden="1"/>
    </xf>
    <xf numFmtId="172" fontId="35" fillId="0" borderId="11" xfId="0" applyNumberFormat="1" applyFont="1" applyBorder="1" applyAlignment="1" applyProtection="1">
      <alignment horizontal="center" vertical="center"/>
      <protection hidden="1"/>
    </xf>
    <xf numFmtId="49" fontId="10" fillId="33" borderId="11" xfId="0" applyNumberFormat="1" applyFont="1" applyFill="1" applyBorder="1" applyAlignment="1">
      <alignment horizontal="center" vertical="top" wrapText="1"/>
    </xf>
    <xf numFmtId="172" fontId="87" fillId="0" borderId="11" xfId="0" applyNumberFormat="1" applyFont="1" applyBorder="1" applyAlignment="1" applyProtection="1">
      <alignment horizontal="center" vertical="center"/>
      <protection hidden="1"/>
    </xf>
    <xf numFmtId="49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88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horizontal="center" vertical="center" wrapText="1"/>
      <protection hidden="1"/>
    </xf>
    <xf numFmtId="0" fontId="18" fillId="33" borderId="11" xfId="0" applyFont="1" applyFill="1" applyBorder="1" applyAlignment="1">
      <alignment vertical="top" wrapText="1"/>
    </xf>
    <xf numFmtId="172" fontId="89" fillId="0" borderId="11" xfId="0" applyNumberFormat="1" applyFont="1" applyBorder="1" applyAlignment="1" applyProtection="1">
      <alignment horizontal="center" vertical="center"/>
      <protection hidden="1"/>
    </xf>
    <xf numFmtId="172" fontId="86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1" xfId="0" applyNumberFormat="1" applyFont="1" applyFill="1" applyBorder="1" applyAlignment="1">
      <alignment horizontal="center" vertical="top"/>
    </xf>
    <xf numFmtId="172" fontId="3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0" fillId="0" borderId="0" xfId="0" applyFont="1" applyFill="1" applyAlignment="1">
      <alignment/>
    </xf>
    <xf numFmtId="172" fontId="3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25" xfId="0" applyFont="1" applyFill="1" applyBorder="1" applyAlignment="1" applyProtection="1">
      <alignment vertical="center" wrapText="1"/>
      <protection hidden="1"/>
    </xf>
    <xf numFmtId="172" fontId="9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1" fontId="9" fillId="0" borderId="11" xfId="0" applyNumberFormat="1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vertical="center" wrapText="1"/>
      <protection hidden="1"/>
    </xf>
    <xf numFmtId="49" fontId="28" fillId="0" borderId="11" xfId="0" applyNumberFormat="1" applyFont="1" applyFill="1" applyBorder="1" applyAlignment="1" applyProtection="1">
      <alignment vertical="top" wrapText="1"/>
      <protection hidden="1"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9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172" fontId="3" fillId="0" borderId="14" xfId="57" applyNumberFormat="1" applyFont="1" applyFill="1" applyBorder="1" applyProtection="1">
      <alignment/>
      <protection hidden="1"/>
    </xf>
    <xf numFmtId="172" fontId="3" fillId="0" borderId="10" xfId="57" applyNumberFormat="1" applyFont="1" applyFill="1" applyBorder="1" applyProtection="1">
      <alignment/>
      <protection hidden="1"/>
    </xf>
    <xf numFmtId="172" fontId="4" fillId="34" borderId="14" xfId="57" applyNumberFormat="1" applyFont="1" applyFill="1" applyBorder="1" applyProtection="1">
      <alignment/>
      <protection hidden="1"/>
    </xf>
    <xf numFmtId="172" fontId="4" fillId="34" borderId="10" xfId="57" applyNumberFormat="1" applyFont="1" applyFill="1" applyBorder="1" applyProtection="1">
      <alignment/>
      <protection hidden="1"/>
    </xf>
    <xf numFmtId="172" fontId="4" fillId="4" borderId="14" xfId="57" applyNumberFormat="1" applyFont="1" applyFill="1" applyBorder="1" applyProtection="1">
      <alignment/>
      <protection hidden="1"/>
    </xf>
    <xf numFmtId="182" fontId="13" fillId="0" borderId="14" xfId="57" applyNumberFormat="1" applyFont="1" applyFill="1" applyBorder="1" applyAlignment="1" applyProtection="1">
      <alignment horizontal="right" vertical="center"/>
      <protection hidden="1"/>
    </xf>
    <xf numFmtId="171" fontId="12" fillId="0" borderId="10" xfId="65" applyFont="1" applyFill="1" applyBorder="1" applyAlignment="1" applyProtection="1">
      <alignment horizontal="right"/>
      <protection hidden="1"/>
    </xf>
    <xf numFmtId="0" fontId="36" fillId="0" borderId="0" xfId="0" applyFont="1" applyFill="1" applyAlignment="1">
      <alignment horizontal="center"/>
    </xf>
    <xf numFmtId="0" fontId="4" fillId="0" borderId="0" xfId="57" applyFont="1" applyFill="1" applyAlignment="1" applyProtection="1">
      <alignment horizontal="center" vertical="center"/>
      <protection hidden="1"/>
    </xf>
    <xf numFmtId="3" fontId="4" fillId="0" borderId="0" xfId="57" applyNumberFormat="1" applyFont="1" applyFill="1" applyBorder="1" applyAlignment="1" applyProtection="1">
      <alignment horizontal="center" wrapText="1"/>
      <protection hidden="1"/>
    </xf>
    <xf numFmtId="0" fontId="4" fillId="0" borderId="0" xfId="57" applyFont="1" applyFill="1" applyBorder="1" applyAlignment="1" applyProtection="1">
      <alignment horizontal="center" vertical="center"/>
      <protection hidden="1" locked="0"/>
    </xf>
    <xf numFmtId="0" fontId="24" fillId="0" borderId="10" xfId="57" applyFont="1" applyFill="1" applyBorder="1" applyAlignment="1" applyProtection="1">
      <alignment horizontal="left" vertical="center" wrapText="1"/>
      <protection hidden="1"/>
    </xf>
    <xf numFmtId="0" fontId="7" fillId="0" borderId="54" xfId="57" applyFont="1" applyFill="1" applyBorder="1" applyAlignment="1" applyProtection="1">
      <alignment horizontal="center" vertical="center"/>
      <protection hidden="1"/>
    </xf>
    <xf numFmtId="0" fontId="7" fillId="0" borderId="56" xfId="57" applyFont="1" applyFill="1" applyBorder="1" applyAlignment="1" applyProtection="1">
      <alignment horizontal="center" vertical="center"/>
      <protection hidden="1"/>
    </xf>
    <xf numFmtId="49" fontId="7" fillId="0" borderId="57" xfId="57" applyNumberFormat="1" applyFont="1" applyFill="1" applyBorder="1" applyAlignment="1" applyProtection="1">
      <alignment horizontal="center" vertical="center" wrapText="1"/>
      <protection hidden="1"/>
    </xf>
    <xf numFmtId="49" fontId="7" fillId="0" borderId="58" xfId="57" applyNumberFormat="1" applyFont="1" applyFill="1" applyBorder="1" applyAlignment="1" applyProtection="1">
      <alignment horizontal="center" vertical="center" wrapText="1"/>
      <protection hidden="1"/>
    </xf>
    <xf numFmtId="49" fontId="7" fillId="0" borderId="59" xfId="57" applyNumberFormat="1" applyFont="1" applyFill="1" applyBorder="1" applyAlignment="1" applyProtection="1">
      <alignment horizontal="center" vertical="center" wrapText="1"/>
      <protection hidden="1"/>
    </xf>
    <xf numFmtId="3" fontId="7" fillId="0" borderId="55" xfId="57" applyNumberFormat="1" applyFont="1" applyFill="1" applyBorder="1" applyAlignment="1" applyProtection="1">
      <alignment horizontal="center" vertical="center"/>
      <protection hidden="1"/>
    </xf>
    <xf numFmtId="3" fontId="7" fillId="0" borderId="60" xfId="57" applyNumberFormat="1" applyFont="1" applyFill="1" applyBorder="1" applyAlignment="1" applyProtection="1">
      <alignment horizontal="center" vertical="center"/>
      <protection hidden="1"/>
    </xf>
    <xf numFmtId="0" fontId="7" fillId="0" borderId="57" xfId="57" applyFont="1" applyFill="1" applyBorder="1" applyAlignment="1" applyProtection="1">
      <alignment horizontal="center" vertical="center"/>
      <protection hidden="1"/>
    </xf>
    <xf numFmtId="0" fontId="7" fillId="0" borderId="61" xfId="57" applyFont="1" applyFill="1" applyBorder="1" applyAlignment="1" applyProtection="1">
      <alignment horizontal="center" vertical="center"/>
      <protection hidden="1"/>
    </xf>
    <xf numFmtId="49" fontId="7" fillId="0" borderId="55" xfId="57" applyNumberFormat="1" applyFont="1" applyFill="1" applyBorder="1" applyAlignment="1" applyProtection="1">
      <alignment horizontal="center" vertical="center" wrapText="1"/>
      <protection hidden="1"/>
    </xf>
    <xf numFmtId="49" fontId="7" fillId="0" borderId="60" xfId="57" applyNumberFormat="1" applyFont="1" applyFill="1" applyBorder="1" applyAlignment="1" applyProtection="1">
      <alignment horizontal="center" vertical="center" wrapText="1"/>
      <protection hidden="1"/>
    </xf>
    <xf numFmtId="49" fontId="6" fillId="0" borderId="62" xfId="57" applyNumberFormat="1" applyFont="1" applyFill="1" applyBorder="1" applyAlignment="1" applyProtection="1">
      <alignment horizontal="center" vertical="center" wrapText="1"/>
      <protection hidden="1"/>
    </xf>
    <xf numFmtId="49" fontId="6" fillId="0" borderId="63" xfId="57" applyNumberFormat="1" applyFont="1" applyFill="1" applyBorder="1" applyAlignment="1" applyProtection="1">
      <alignment horizontal="center" vertical="center" wrapText="1"/>
      <protection hidden="1"/>
    </xf>
    <xf numFmtId="3" fontId="6" fillId="0" borderId="62" xfId="57" applyNumberFormat="1" applyFont="1" applyFill="1" applyBorder="1" applyAlignment="1" applyProtection="1">
      <alignment horizontal="center" vertical="center"/>
      <protection hidden="1"/>
    </xf>
    <xf numFmtId="3" fontId="6" fillId="0" borderId="63" xfId="57" applyNumberFormat="1" applyFont="1" applyFill="1" applyBorder="1" applyAlignment="1" applyProtection="1">
      <alignment horizontal="center" vertical="center"/>
      <protection hidden="1"/>
    </xf>
    <xf numFmtId="4" fontId="16" fillId="0" borderId="64" xfId="57" applyNumberFormat="1" applyFont="1" applyFill="1" applyBorder="1" applyAlignment="1" applyProtection="1">
      <alignment horizontal="center" vertical="center"/>
      <protection hidden="1"/>
    </xf>
    <xf numFmtId="4" fontId="16" fillId="0" borderId="65" xfId="57" applyNumberFormat="1" applyFont="1" applyFill="1" applyBorder="1" applyAlignment="1" applyProtection="1">
      <alignment horizontal="center" vertical="center"/>
      <protection hidden="1"/>
    </xf>
    <xf numFmtId="0" fontId="4" fillId="0" borderId="0" xfId="57" applyFont="1" applyFill="1" applyBorder="1" applyAlignment="1" applyProtection="1">
      <alignment horizontal="center" vertical="center"/>
      <protection hidden="1"/>
    </xf>
    <xf numFmtId="4" fontId="6" fillId="0" borderId="66" xfId="57" applyNumberFormat="1" applyFont="1" applyFill="1" applyBorder="1" applyAlignment="1" applyProtection="1">
      <alignment horizontal="center"/>
      <protection hidden="1"/>
    </xf>
    <xf numFmtId="4" fontId="6" fillId="0" borderId="67" xfId="57" applyNumberFormat="1" applyFont="1" applyFill="1" applyBorder="1" applyAlignment="1" applyProtection="1">
      <alignment horizontal="center"/>
      <protection hidden="1"/>
    </xf>
    <xf numFmtId="0" fontId="6" fillId="0" borderId="68" xfId="57" applyFont="1" applyFill="1" applyBorder="1" applyAlignment="1" applyProtection="1">
      <alignment horizontal="center" vertical="center"/>
      <protection hidden="1"/>
    </xf>
    <xf numFmtId="0" fontId="6" fillId="0" borderId="69" xfId="57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10" fillId="0" borderId="70" xfId="0" applyFont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horizontal="center" vertical="center" wrapText="1"/>
      <protection hidden="1"/>
    </xf>
    <xf numFmtId="0" fontId="10" fillId="0" borderId="70" xfId="0" applyFont="1" applyBorder="1" applyAlignment="1" applyProtection="1">
      <alignment horizontal="center" vertical="top" wrapText="1"/>
      <protection hidden="1"/>
    </xf>
    <xf numFmtId="0" fontId="10" fillId="0" borderId="25" xfId="0" applyFont="1" applyBorder="1" applyAlignment="1" applyProtection="1">
      <alignment horizontal="center" vertical="top" wrapText="1"/>
      <protection hidden="1"/>
    </xf>
    <xf numFmtId="0" fontId="5" fillId="0" borderId="71" xfId="0" applyFont="1" applyBorder="1" applyAlignment="1" applyProtection="1">
      <alignment horizontal="left"/>
      <protection hidden="1"/>
    </xf>
    <xf numFmtId="0" fontId="5" fillId="0" borderId="19" xfId="0" applyFont="1" applyBorder="1" applyAlignment="1" applyProtection="1">
      <alignment horizontal="left"/>
      <protection hidden="1"/>
    </xf>
    <xf numFmtId="182" fontId="10" fillId="0" borderId="72" xfId="57" applyNumberFormat="1" applyFont="1" applyFill="1" applyBorder="1" applyAlignment="1" applyProtection="1">
      <alignment horizontal="center" vertical="center"/>
      <protection hidden="1"/>
    </xf>
    <xf numFmtId="182" fontId="10" fillId="0" borderId="73" xfId="57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10" fillId="0" borderId="7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70" xfId="0" applyFont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horizontal="center" vertical="center" wrapText="1"/>
      <protection hidden="1"/>
    </xf>
    <xf numFmtId="3" fontId="36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6" fillId="0" borderId="7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72" fontId="5" fillId="0" borderId="11" xfId="0" applyNumberFormat="1" applyFont="1" applyBorder="1" applyAlignment="1" applyProtection="1">
      <alignment horizontal="center"/>
      <protection hidden="1"/>
    </xf>
    <xf numFmtId="172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74" xfId="0" applyFont="1" applyBorder="1" applyAlignment="1" applyProtection="1">
      <alignment horizontal="center" vertical="center"/>
      <protection hidden="1"/>
    </xf>
    <xf numFmtId="172" fontId="9" fillId="0" borderId="1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182" fontId="9" fillId="0" borderId="11" xfId="0" applyNumberFormat="1" applyFont="1" applyBorder="1" applyAlignment="1" applyProtection="1">
      <alignment horizontal="center" vertical="center" wrapText="1"/>
      <protection hidden="1"/>
    </xf>
    <xf numFmtId="0" fontId="9" fillId="0" borderId="75" xfId="54" applyFont="1" applyFill="1" applyBorder="1" applyAlignment="1">
      <alignment horizontal="center" vertical="center" textRotation="90" wrapText="1"/>
      <protection/>
    </xf>
    <xf numFmtId="0" fontId="9" fillId="0" borderId="60" xfId="54" applyFont="1" applyFill="1" applyBorder="1" applyAlignment="1">
      <alignment horizontal="center" vertical="center" textRotation="90" wrapText="1"/>
      <protection/>
    </xf>
    <xf numFmtId="0" fontId="9" fillId="0" borderId="70" xfId="54" applyFont="1" applyFill="1" applyBorder="1" applyAlignment="1">
      <alignment horizontal="center" vertical="center" textRotation="90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9" fillId="0" borderId="76" xfId="54" applyFont="1" applyFill="1" applyBorder="1" applyAlignment="1">
      <alignment horizontal="center" vertical="center" wrapText="1"/>
      <protection/>
    </xf>
    <xf numFmtId="0" fontId="4" fillId="0" borderId="77" xfId="54" applyFont="1" applyFill="1" applyBorder="1" applyAlignment="1">
      <alignment/>
      <protection/>
    </xf>
    <xf numFmtId="0" fontId="9" fillId="0" borderId="50" xfId="54" applyFont="1" applyFill="1" applyBorder="1" applyAlignment="1">
      <alignment horizontal="center" vertical="center" wrapText="1"/>
      <protection/>
    </xf>
    <xf numFmtId="0" fontId="9" fillId="0" borderId="74" xfId="54" applyFont="1" applyFill="1" applyBorder="1" applyAlignment="1">
      <alignment horizontal="center" vertical="center" wrapText="1"/>
      <protection/>
    </xf>
    <xf numFmtId="0" fontId="9" fillId="0" borderId="17" xfId="54" applyFont="1" applyFill="1" applyBorder="1" applyAlignment="1">
      <alignment horizontal="center" vertical="center" wrapText="1"/>
      <protection/>
    </xf>
    <xf numFmtId="0" fontId="9" fillId="0" borderId="54" xfId="54" applyFont="1" applyFill="1" applyBorder="1" applyAlignment="1">
      <alignment horizontal="center" vertical="center" textRotation="90" wrapText="1"/>
      <protection/>
    </xf>
    <xf numFmtId="0" fontId="9" fillId="0" borderId="78" xfId="54" applyFont="1" applyFill="1" applyBorder="1" applyAlignment="1">
      <alignment horizontal="center" vertical="center" textRotation="90" wrapText="1"/>
      <protection/>
    </xf>
    <xf numFmtId="0" fontId="9" fillId="0" borderId="56" xfId="54" applyFont="1" applyFill="1" applyBorder="1" applyAlignment="1">
      <alignment horizontal="center" vertical="center" textRotation="90" wrapText="1"/>
      <protection/>
    </xf>
    <xf numFmtId="0" fontId="9" fillId="0" borderId="79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0" fontId="9" fillId="0" borderId="55" xfId="54" applyFont="1" applyFill="1" applyBorder="1" applyAlignment="1">
      <alignment horizontal="center" vertical="center" wrapText="1"/>
      <protection/>
    </xf>
    <xf numFmtId="0" fontId="9" fillId="0" borderId="75" xfId="54" applyFont="1" applyFill="1" applyBorder="1" applyAlignment="1">
      <alignment horizontal="center" vertical="center" wrapText="1"/>
      <protection/>
    </xf>
    <xf numFmtId="0" fontId="9" fillId="0" borderId="60" xfId="54" applyFont="1" applyFill="1" applyBorder="1" applyAlignment="1">
      <alignment horizontal="center" vertical="center" wrapText="1"/>
      <protection/>
    </xf>
    <xf numFmtId="0" fontId="9" fillId="0" borderId="79" xfId="54" applyFont="1" applyFill="1" applyBorder="1" applyAlignment="1">
      <alignment horizontal="center" vertical="center" textRotation="90" wrapText="1"/>
      <protection/>
    </xf>
    <xf numFmtId="0" fontId="9" fillId="0" borderId="11" xfId="54" applyFont="1" applyFill="1" applyBorder="1" applyAlignment="1">
      <alignment horizontal="center" vertical="center" textRotation="90" wrapText="1"/>
      <protection/>
    </xf>
    <xf numFmtId="0" fontId="9" fillId="0" borderId="22" xfId="54" applyFont="1" applyFill="1" applyBorder="1" applyAlignment="1">
      <alignment horizontal="center" vertical="center" textRotation="90" wrapText="1"/>
      <protection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58" xfId="54" applyFont="1" applyFill="1" applyBorder="1" applyAlignment="1">
      <alignment horizontal="center" vertical="center" wrapText="1"/>
      <protection/>
    </xf>
    <xf numFmtId="0" fontId="9" fillId="0" borderId="59" xfId="54" applyFont="1" applyFill="1" applyBorder="1" applyAlignment="1">
      <alignment horizontal="center" vertical="center" wrapText="1"/>
      <protection/>
    </xf>
    <xf numFmtId="0" fontId="9" fillId="0" borderId="80" xfId="54" applyFont="1" applyFill="1" applyBorder="1" applyAlignment="1">
      <alignment horizontal="center" vertical="center" wrapText="1"/>
      <protection/>
    </xf>
    <xf numFmtId="0" fontId="9" fillId="0" borderId="26" xfId="54" applyFont="1" applyFill="1" applyBorder="1" applyAlignment="1">
      <alignment horizontal="center" vertical="center" wrapText="1"/>
      <protection/>
    </xf>
    <xf numFmtId="0" fontId="9" fillId="0" borderId="81" xfId="54" applyFont="1" applyFill="1" applyBorder="1" applyAlignment="1">
      <alignment horizontal="center" vertical="center" wrapText="1"/>
      <protection/>
    </xf>
    <xf numFmtId="0" fontId="9" fillId="0" borderId="82" xfId="54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/>
      <protection/>
    </xf>
    <xf numFmtId="0" fontId="9" fillId="0" borderId="55" xfId="54" applyFont="1" applyFill="1" applyBorder="1" applyAlignment="1">
      <alignment horizontal="center" vertical="center" textRotation="90" wrapText="1"/>
      <protection/>
    </xf>
    <xf numFmtId="0" fontId="63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textRotation="90" wrapText="1"/>
    </xf>
    <xf numFmtId="4" fontId="42" fillId="0" borderId="11" xfId="0" applyNumberFormat="1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 wrapText="1"/>
    </xf>
    <xf numFmtId="0" fontId="53" fillId="34" borderId="50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42" fillId="0" borderId="70" xfId="0" applyFont="1" applyBorder="1" applyAlignment="1">
      <alignment horizontal="center" vertical="center" textRotation="90" wrapText="1"/>
    </xf>
    <xf numFmtId="0" fontId="42" fillId="0" borderId="25" xfId="0" applyFont="1" applyBorder="1" applyAlignment="1">
      <alignment horizontal="center" vertical="center" textRotation="90" wrapText="1"/>
    </xf>
    <xf numFmtId="0" fontId="43" fillId="0" borderId="25" xfId="0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ругие долговые обязательства" xfId="54"/>
    <cellStyle name="Обычный_Информация 1" xfId="55"/>
    <cellStyle name="Обычный_Лист Microsoft Excel" xfId="56"/>
    <cellStyle name="Обычный_Прил №2 - ФКР - Бюджет 200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kolaeva\&#1088;&#1072;&#1073;&#1086;&#1095;&#1080;&#1081;%20&#1089;&#1090;&#1086;&#1083;\&#1088;&#1072;&#1073;&#1086;&#1095;&#1080;&#1081;%20&#1089;&#1090;&#1086;&#1083;\&#1052;&#1086;&#1080;%20&#1076;&#1086;&#1082;&#1091;&#1084;&#1077;&#1085;&#1090;&#1099;\&#1041;&#1102;&#1076;&#1078;&#1077;&#1090;%202015-2017\&#1059;&#1090;&#1086;&#1095;&#1085;&#1077;&#1085;&#1080;&#1103;%20&#1073;&#1102;&#1076;&#1078;&#1077;&#1090;&#1072;%202015-2017\&#1059;&#1090;&#1086;&#1095;&#1085;&#1077;&#1085;&#1080;&#1077;%202015-2017%2008\&#1055;&#1088;&#1080;&#1083;&#1086;&#1078;&#1077;&#1085;&#1080;&#1103;%20&#1089;%201-16%20&#1082;%20&#1073;&#1102;&#1076;&#1078;&#1077;&#1090;&#1091;%202015-2017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 Администраторы доходов"/>
      <sheetName val="Прил. 2 Доходы 2015"/>
      <sheetName val="Прил. 3 Доходы 2016-2017"/>
      <sheetName val="Прил. 4 Функциональная 2015"/>
      <sheetName val="Прил.5 Функциональная 2016-2017"/>
      <sheetName val="Прил.6 Ведомственная 2015"/>
      <sheetName val="Прил.7 Ведомственная 2016-2017"/>
      <sheetName val="Прил.8 Муницип.программы 2015"/>
      <sheetName val="Прил.9 Муниц.программы2016-2017"/>
      <sheetName val="Прил. 10 Источники_2015"/>
      <sheetName val="Прил. 11 Источники_2016-2017"/>
      <sheetName val="Пр.12 Прогр. гарант. 2015 (КЛ)"/>
      <sheetName val="Пр.13 Наказы избирателей"/>
    </sheetNames>
    <sheetDataSet>
      <sheetData sheetId="1">
        <row r="231">
          <cell r="C231">
            <v>5868576.01</v>
          </cell>
        </row>
      </sheetData>
      <sheetData sheetId="3">
        <row r="19">
          <cell r="F19">
            <v>6393961.27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7"/>
  <sheetViews>
    <sheetView showGridLines="0" view="pageBreakPreview" zoomScaleSheetLayoutView="100" workbookViewId="0" topLeftCell="A6">
      <selection activeCell="E8" sqref="E8"/>
    </sheetView>
  </sheetViews>
  <sheetFormatPr defaultColWidth="9.375" defaultRowHeight="12.75"/>
  <cols>
    <col min="1" max="1" width="21.625" style="557" customWidth="1"/>
    <col min="2" max="2" width="61.375" style="558" customWidth="1"/>
    <col min="3" max="3" width="13.375" style="559" customWidth="1"/>
    <col min="4" max="4" width="13.625" style="469" customWidth="1"/>
    <col min="5" max="5" width="12.375" style="472" customWidth="1"/>
    <col min="6" max="6" width="8.625" style="472" customWidth="1"/>
    <col min="7" max="7" width="9.50390625" style="472" customWidth="1"/>
    <col min="8" max="16384" width="9.375" style="473" customWidth="1"/>
  </cols>
  <sheetData>
    <row r="1" spans="1:6" ht="15.75" customHeight="1" hidden="1">
      <c r="A1" s="466"/>
      <c r="B1" s="467"/>
      <c r="C1" s="468"/>
      <c r="E1" s="470" t="s">
        <v>195</v>
      </c>
      <c r="F1" s="471"/>
    </row>
    <row r="2" spans="1:6" ht="15.75" customHeight="1" hidden="1">
      <c r="A2" s="474"/>
      <c r="B2" s="475"/>
      <c r="C2" s="468"/>
      <c r="E2" s="476" t="s">
        <v>772</v>
      </c>
      <c r="F2" s="477"/>
    </row>
    <row r="3" spans="1:6" ht="15.75" customHeight="1" hidden="1">
      <c r="A3" s="478"/>
      <c r="B3" s="479"/>
      <c r="C3" s="468"/>
      <c r="E3" s="57" t="s">
        <v>196</v>
      </c>
      <c r="F3" s="480"/>
    </row>
    <row r="4" spans="1:6" ht="15.75" customHeight="1" hidden="1">
      <c r="A4" s="474"/>
      <c r="B4" s="475"/>
      <c r="C4" s="477"/>
      <c r="D4" s="477"/>
      <c r="E4" s="477"/>
      <c r="F4" s="477"/>
    </row>
    <row r="5" spans="1:7" ht="15.75" customHeight="1" hidden="1">
      <c r="A5" s="611" t="s">
        <v>197</v>
      </c>
      <c r="B5" s="611"/>
      <c r="C5" s="611"/>
      <c r="D5" s="611"/>
      <c r="E5" s="611"/>
      <c r="F5" s="611"/>
      <c r="G5" s="611"/>
    </row>
    <row r="6" spans="1:7" ht="15.75" customHeight="1">
      <c r="A6" s="481"/>
      <c r="B6" s="481"/>
      <c r="C6" s="481"/>
      <c r="D6" s="481"/>
      <c r="E6" s="470" t="s">
        <v>378</v>
      </c>
      <c r="F6" s="481"/>
      <c r="G6" s="481"/>
    </row>
    <row r="7" spans="1:7" ht="15.75" customHeight="1">
      <c r="A7" s="481"/>
      <c r="B7" s="481"/>
      <c r="C7" s="481"/>
      <c r="D7" s="481"/>
      <c r="E7" s="476" t="s">
        <v>772</v>
      </c>
      <c r="F7" s="481"/>
      <c r="G7" s="481"/>
    </row>
    <row r="8" spans="1:7" ht="15.75" customHeight="1">
      <c r="A8" s="481"/>
      <c r="B8" s="481"/>
      <c r="C8" s="481"/>
      <c r="D8" s="481"/>
      <c r="E8" s="57" t="s">
        <v>1736</v>
      </c>
      <c r="F8" s="481"/>
      <c r="G8" s="481"/>
    </row>
    <row r="9" spans="1:7" ht="15.75" customHeight="1">
      <c r="A9" s="481"/>
      <c r="B9" s="481"/>
      <c r="C9" s="481"/>
      <c r="D9" s="481"/>
      <c r="E9" s="481"/>
      <c r="F9" s="481"/>
      <c r="G9" s="481"/>
    </row>
    <row r="10" spans="1:7" ht="15.75" customHeight="1">
      <c r="A10" s="611" t="s">
        <v>197</v>
      </c>
      <c r="B10" s="611"/>
      <c r="C10" s="611"/>
      <c r="D10" s="611"/>
      <c r="E10" s="611"/>
      <c r="F10" s="611"/>
      <c r="G10" s="611"/>
    </row>
    <row r="11" spans="1:7" ht="15">
      <c r="A11" s="611" t="s">
        <v>198</v>
      </c>
      <c r="B11" s="611"/>
      <c r="C11" s="611"/>
      <c r="D11" s="611"/>
      <c r="E11" s="611"/>
      <c r="F11" s="611"/>
      <c r="G11" s="611"/>
    </row>
    <row r="12" spans="1:7" ht="15">
      <c r="A12" s="611" t="s">
        <v>199</v>
      </c>
      <c r="B12" s="611"/>
      <c r="C12" s="611"/>
      <c r="D12" s="611"/>
      <c r="E12" s="611"/>
      <c r="F12" s="611"/>
      <c r="G12" s="611"/>
    </row>
    <row r="13" spans="1:7" ht="15.75" thickBot="1">
      <c r="A13" s="482"/>
      <c r="B13" s="482"/>
      <c r="C13" s="477"/>
      <c r="D13" s="477"/>
      <c r="E13" s="477"/>
      <c r="G13" s="483" t="s">
        <v>773</v>
      </c>
    </row>
    <row r="14" spans="1:7" ht="68.25" thickBot="1">
      <c r="A14" s="484" t="s">
        <v>200</v>
      </c>
      <c r="B14" s="485" t="s">
        <v>1582</v>
      </c>
      <c r="C14" s="486" t="s">
        <v>1571</v>
      </c>
      <c r="D14" s="486" t="s">
        <v>1572</v>
      </c>
      <c r="E14" s="486" t="s">
        <v>1573</v>
      </c>
      <c r="F14" s="487" t="s">
        <v>201</v>
      </c>
      <c r="G14" s="488" t="s">
        <v>202</v>
      </c>
    </row>
    <row r="15" spans="1:7" ht="15">
      <c r="A15" s="489">
        <v>1</v>
      </c>
      <c r="B15" s="490">
        <v>2</v>
      </c>
      <c r="C15" s="491" t="s">
        <v>203</v>
      </c>
      <c r="D15" s="492">
        <v>4</v>
      </c>
      <c r="E15" s="493">
        <v>5</v>
      </c>
      <c r="F15" s="493">
        <v>6</v>
      </c>
      <c r="G15" s="493">
        <v>7</v>
      </c>
    </row>
    <row r="16" spans="1:7" ht="15.75" customHeight="1" hidden="1">
      <c r="A16" s="494"/>
      <c r="B16" s="495" t="s">
        <v>204</v>
      </c>
      <c r="C16" s="496"/>
      <c r="D16" s="496"/>
      <c r="E16" s="496"/>
      <c r="F16" s="497"/>
      <c r="G16" s="498"/>
    </row>
    <row r="17" spans="1:7" ht="15.75" customHeight="1">
      <c r="A17" s="499" t="s">
        <v>775</v>
      </c>
      <c r="B17" s="500" t="s">
        <v>1337</v>
      </c>
      <c r="C17" s="501">
        <f>C18+C30+C46+C61+C68+C90+C112+C118+C123+C133+C167+C24</f>
        <v>3585792.9</v>
      </c>
      <c r="D17" s="501">
        <f>D18+D30+D46+D61+D68+D90+D112+D118+D123+D133+D167+D24</f>
        <v>3985953.4</v>
      </c>
      <c r="E17" s="501">
        <f>E18+E30+E46+E61+E68+E90+E112+E118+E123+E133+E167+E24</f>
        <v>4087383.7999999993</v>
      </c>
      <c r="F17" s="497">
        <f>E17/C17*100</f>
        <v>113.98828415327611</v>
      </c>
      <c r="G17" s="498">
        <f aca="true" t="shared" si="0" ref="G17:G92">E17/D17*100</f>
        <v>102.54469608199632</v>
      </c>
    </row>
    <row r="18" spans="1:7" ht="15">
      <c r="A18" s="502" t="s">
        <v>777</v>
      </c>
      <c r="B18" s="503" t="s">
        <v>776</v>
      </c>
      <c r="C18" s="504">
        <f>C19</f>
        <v>1005750</v>
      </c>
      <c r="D18" s="504">
        <f>D19</f>
        <v>1015750</v>
      </c>
      <c r="E18" s="504">
        <f>E19</f>
        <v>1034707.5</v>
      </c>
      <c r="F18" s="497">
        <f aca="true" t="shared" si="1" ref="F18:F95">E18/C18*100</f>
        <v>102.87919463087248</v>
      </c>
      <c r="G18" s="498">
        <f t="shared" si="0"/>
        <v>101.86635491016492</v>
      </c>
    </row>
    <row r="19" spans="1:7" ht="15">
      <c r="A19" s="502" t="s">
        <v>1346</v>
      </c>
      <c r="B19" s="500" t="s">
        <v>1345</v>
      </c>
      <c r="C19" s="504">
        <f>C20+C21+C22+C23</f>
        <v>1005750</v>
      </c>
      <c r="D19" s="504">
        <f>D20+D21+D22+D23</f>
        <v>1015750</v>
      </c>
      <c r="E19" s="504">
        <f>E20+E21+E22+E23</f>
        <v>1034707.5</v>
      </c>
      <c r="F19" s="497">
        <f t="shared" si="1"/>
        <v>102.87919463087248</v>
      </c>
      <c r="G19" s="498">
        <f t="shared" si="0"/>
        <v>101.86635491016492</v>
      </c>
    </row>
    <row r="20" spans="1:7" ht="48">
      <c r="A20" s="502" t="s">
        <v>614</v>
      </c>
      <c r="B20" s="506" t="s">
        <v>205</v>
      </c>
      <c r="C20" s="505">
        <v>1001200</v>
      </c>
      <c r="D20" s="505">
        <v>896200</v>
      </c>
      <c r="E20" s="505">
        <v>914439.8</v>
      </c>
      <c r="F20" s="497">
        <f t="shared" si="1"/>
        <v>91.33437874550539</v>
      </c>
      <c r="G20" s="498">
        <f t="shared" si="0"/>
        <v>102.03523767016291</v>
      </c>
    </row>
    <row r="21" spans="1:7" ht="72">
      <c r="A21" s="502" t="s">
        <v>99</v>
      </c>
      <c r="B21" s="507" t="s">
        <v>853</v>
      </c>
      <c r="C21" s="505">
        <v>1250</v>
      </c>
      <c r="D21" s="505">
        <v>1250</v>
      </c>
      <c r="E21" s="505">
        <v>1443.1</v>
      </c>
      <c r="F21" s="497">
        <f t="shared" si="1"/>
        <v>115.448</v>
      </c>
      <c r="G21" s="498">
        <f t="shared" si="0"/>
        <v>115.448</v>
      </c>
    </row>
    <row r="22" spans="1:7" ht="36">
      <c r="A22" s="502" t="s">
        <v>1504</v>
      </c>
      <c r="B22" s="508" t="s">
        <v>966</v>
      </c>
      <c r="C22" s="505">
        <v>3300</v>
      </c>
      <c r="D22" s="505">
        <v>118300</v>
      </c>
      <c r="E22" s="505">
        <v>118824.6</v>
      </c>
      <c r="F22" s="497">
        <f t="shared" si="1"/>
        <v>3600.745454545455</v>
      </c>
      <c r="G22" s="498">
        <f t="shared" si="0"/>
        <v>100.44344885883348</v>
      </c>
    </row>
    <row r="23" spans="1:7" ht="48" hidden="1">
      <c r="A23" s="502" t="s">
        <v>206</v>
      </c>
      <c r="B23" s="503" t="s">
        <v>207</v>
      </c>
      <c r="C23" s="505"/>
      <c r="D23" s="505"/>
      <c r="E23" s="505"/>
      <c r="F23" s="497"/>
      <c r="G23" s="498"/>
    </row>
    <row r="24" spans="1:7" ht="24">
      <c r="A24" s="509" t="s">
        <v>94</v>
      </c>
      <c r="B24" s="510" t="s">
        <v>93</v>
      </c>
      <c r="C24" s="504">
        <f>C25</f>
        <v>60000</v>
      </c>
      <c r="D24" s="504">
        <f>D25</f>
        <v>81551.4</v>
      </c>
      <c r="E24" s="504">
        <f>E25</f>
        <v>87074.59999999999</v>
      </c>
      <c r="F24" s="497">
        <f t="shared" si="1"/>
        <v>145.1243333333333</v>
      </c>
      <c r="G24" s="498">
        <f t="shared" si="0"/>
        <v>106.77266116829385</v>
      </c>
    </row>
    <row r="25" spans="1:7" ht="13.5" customHeight="1">
      <c r="A25" s="511" t="s">
        <v>478</v>
      </c>
      <c r="B25" s="512" t="s">
        <v>477</v>
      </c>
      <c r="C25" s="504">
        <f>C26+C27+C28+C29</f>
        <v>60000</v>
      </c>
      <c r="D25" s="504">
        <f>D26+D27+D28+D29</f>
        <v>81551.4</v>
      </c>
      <c r="E25" s="504">
        <f>E26+E27+E28+E29</f>
        <v>87074.59999999999</v>
      </c>
      <c r="F25" s="497">
        <f t="shared" si="1"/>
        <v>145.1243333333333</v>
      </c>
      <c r="G25" s="498">
        <f t="shared" si="0"/>
        <v>106.77266116829385</v>
      </c>
    </row>
    <row r="26" spans="1:256" s="18" customFormat="1" ht="48">
      <c r="A26" s="513" t="s">
        <v>95</v>
      </c>
      <c r="B26" s="508" t="s">
        <v>1487</v>
      </c>
      <c r="C26" s="505">
        <v>18500</v>
      </c>
      <c r="D26" s="505">
        <v>25635.7</v>
      </c>
      <c r="E26" s="505">
        <v>30354.5</v>
      </c>
      <c r="F26" s="497">
        <f t="shared" si="1"/>
        <v>164.07837837837837</v>
      </c>
      <c r="G26" s="498">
        <f t="shared" si="0"/>
        <v>118.40714316363507</v>
      </c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73"/>
      <c r="AN26" s="473"/>
      <c r="AO26" s="473"/>
      <c r="AP26" s="473"/>
      <c r="AQ26" s="473"/>
      <c r="AR26" s="473"/>
      <c r="AS26" s="473"/>
      <c r="AT26" s="473"/>
      <c r="AU26" s="473"/>
      <c r="AV26" s="473"/>
      <c r="AW26" s="473"/>
      <c r="AX26" s="473"/>
      <c r="AY26" s="473"/>
      <c r="AZ26" s="473"/>
      <c r="BA26" s="473"/>
      <c r="BB26" s="473"/>
      <c r="BC26" s="473"/>
      <c r="BD26" s="473"/>
      <c r="BE26" s="473"/>
      <c r="BF26" s="473"/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3"/>
      <c r="BS26" s="473"/>
      <c r="BT26" s="473"/>
      <c r="BU26" s="473"/>
      <c r="BV26" s="473"/>
      <c r="BW26" s="473"/>
      <c r="BX26" s="473"/>
      <c r="BY26" s="473"/>
      <c r="BZ26" s="473"/>
      <c r="CA26" s="473"/>
      <c r="CB26" s="473"/>
      <c r="CC26" s="473"/>
      <c r="CD26" s="473"/>
      <c r="CE26" s="473"/>
      <c r="CF26" s="473"/>
      <c r="CG26" s="473"/>
      <c r="CH26" s="473"/>
      <c r="CI26" s="473"/>
      <c r="CJ26" s="473"/>
      <c r="CK26" s="473"/>
      <c r="CL26" s="473"/>
      <c r="CM26" s="473"/>
      <c r="CN26" s="473"/>
      <c r="CO26" s="473"/>
      <c r="CP26" s="473"/>
      <c r="CQ26" s="473"/>
      <c r="CR26" s="473"/>
      <c r="CS26" s="473"/>
      <c r="CT26" s="473"/>
      <c r="CU26" s="473"/>
      <c r="CV26" s="473"/>
      <c r="CW26" s="473"/>
      <c r="CX26" s="473"/>
      <c r="CY26" s="473"/>
      <c r="CZ26" s="473"/>
      <c r="DA26" s="473"/>
      <c r="DB26" s="473"/>
      <c r="DC26" s="473"/>
      <c r="DD26" s="473"/>
      <c r="DE26" s="473"/>
      <c r="DF26" s="473"/>
      <c r="DG26" s="473"/>
      <c r="DH26" s="473"/>
      <c r="DI26" s="473"/>
      <c r="DJ26" s="473"/>
      <c r="DK26" s="473"/>
      <c r="DL26" s="473"/>
      <c r="DM26" s="473"/>
      <c r="DN26" s="473"/>
      <c r="DO26" s="473"/>
      <c r="DP26" s="473"/>
      <c r="DQ26" s="473"/>
      <c r="DR26" s="473"/>
      <c r="DS26" s="473"/>
      <c r="DT26" s="473"/>
      <c r="DU26" s="473"/>
      <c r="DV26" s="473"/>
      <c r="DW26" s="473"/>
      <c r="DX26" s="473"/>
      <c r="DY26" s="473"/>
      <c r="DZ26" s="473"/>
      <c r="EA26" s="473"/>
      <c r="EB26" s="473"/>
      <c r="EC26" s="473"/>
      <c r="ED26" s="473"/>
      <c r="EE26" s="473"/>
      <c r="EF26" s="473"/>
      <c r="EG26" s="473"/>
      <c r="EH26" s="473"/>
      <c r="EI26" s="473"/>
      <c r="EJ26" s="473"/>
      <c r="EK26" s="473"/>
      <c r="EL26" s="473"/>
      <c r="EM26" s="473"/>
      <c r="EN26" s="473"/>
      <c r="EO26" s="473"/>
      <c r="EP26" s="473"/>
      <c r="EQ26" s="473"/>
      <c r="ER26" s="473"/>
      <c r="ES26" s="473"/>
      <c r="ET26" s="473"/>
      <c r="EU26" s="473"/>
      <c r="EV26" s="473"/>
      <c r="EW26" s="473"/>
      <c r="EX26" s="473"/>
      <c r="EY26" s="473"/>
      <c r="EZ26" s="473"/>
      <c r="FA26" s="473"/>
      <c r="FB26" s="473"/>
      <c r="FC26" s="473"/>
      <c r="FD26" s="473"/>
      <c r="FE26" s="473"/>
      <c r="FF26" s="473"/>
      <c r="FG26" s="473"/>
      <c r="FH26" s="473"/>
      <c r="FI26" s="473"/>
      <c r="FJ26" s="473"/>
      <c r="FK26" s="473"/>
      <c r="FL26" s="473"/>
      <c r="FM26" s="473"/>
      <c r="FN26" s="473"/>
      <c r="FO26" s="473"/>
      <c r="FP26" s="473"/>
      <c r="FQ26" s="473"/>
      <c r="FR26" s="473"/>
      <c r="FS26" s="473"/>
      <c r="FT26" s="473"/>
      <c r="FU26" s="473"/>
      <c r="FV26" s="473"/>
      <c r="FW26" s="473"/>
      <c r="FX26" s="473"/>
      <c r="FY26" s="473"/>
      <c r="FZ26" s="473"/>
      <c r="GA26" s="473"/>
      <c r="GB26" s="473"/>
      <c r="GC26" s="473"/>
      <c r="GD26" s="473"/>
      <c r="GE26" s="473"/>
      <c r="GF26" s="473"/>
      <c r="GG26" s="473"/>
      <c r="GH26" s="473"/>
      <c r="GI26" s="473"/>
      <c r="GJ26" s="473"/>
      <c r="GK26" s="473"/>
      <c r="GL26" s="473"/>
      <c r="GM26" s="473"/>
      <c r="GN26" s="473"/>
      <c r="GO26" s="473"/>
      <c r="GP26" s="473"/>
      <c r="GQ26" s="473"/>
      <c r="GR26" s="473"/>
      <c r="GS26" s="473"/>
      <c r="GT26" s="473"/>
      <c r="GU26" s="473"/>
      <c r="GV26" s="473"/>
      <c r="GW26" s="473"/>
      <c r="GX26" s="473"/>
      <c r="GY26" s="473"/>
      <c r="GZ26" s="473"/>
      <c r="HA26" s="473"/>
      <c r="HB26" s="473"/>
      <c r="HC26" s="473"/>
      <c r="HD26" s="473"/>
      <c r="HE26" s="473"/>
      <c r="HF26" s="473"/>
      <c r="HG26" s="473"/>
      <c r="HH26" s="473"/>
      <c r="HI26" s="473"/>
      <c r="HJ26" s="473"/>
      <c r="HK26" s="473"/>
      <c r="HL26" s="473"/>
      <c r="HM26" s="473"/>
      <c r="HN26" s="473"/>
      <c r="HO26" s="473"/>
      <c r="HP26" s="473"/>
      <c r="HQ26" s="473"/>
      <c r="HR26" s="473"/>
      <c r="HS26" s="473"/>
      <c r="HT26" s="473"/>
      <c r="HU26" s="473"/>
      <c r="HV26" s="473"/>
      <c r="HW26" s="473"/>
      <c r="HX26" s="473"/>
      <c r="HY26" s="473"/>
      <c r="HZ26" s="473"/>
      <c r="IA26" s="473"/>
      <c r="IB26" s="473"/>
      <c r="IC26" s="473"/>
      <c r="ID26" s="473"/>
      <c r="IE26" s="473"/>
      <c r="IF26" s="473"/>
      <c r="IG26" s="473"/>
      <c r="IH26" s="473"/>
      <c r="II26" s="473"/>
      <c r="IJ26" s="473"/>
      <c r="IK26" s="473"/>
      <c r="IL26" s="473"/>
      <c r="IM26" s="473"/>
      <c r="IN26" s="473"/>
      <c r="IO26" s="473"/>
      <c r="IP26" s="473"/>
      <c r="IQ26" s="473"/>
      <c r="IR26" s="473"/>
      <c r="IS26" s="473"/>
      <c r="IT26" s="473"/>
      <c r="IU26" s="473"/>
      <c r="IV26" s="473"/>
    </row>
    <row r="27" spans="1:7" ht="48">
      <c r="A27" s="514" t="s">
        <v>96</v>
      </c>
      <c r="B27" s="508" t="s">
        <v>1488</v>
      </c>
      <c r="C27" s="505">
        <v>700</v>
      </c>
      <c r="D27" s="505">
        <v>700</v>
      </c>
      <c r="E27" s="505">
        <v>822.3</v>
      </c>
      <c r="F27" s="497">
        <f t="shared" si="1"/>
        <v>117.47142857142856</v>
      </c>
      <c r="G27" s="498">
        <f t="shared" si="0"/>
        <v>117.47142857142856</v>
      </c>
    </row>
    <row r="28" spans="1:7" ht="48">
      <c r="A28" s="514" t="s">
        <v>97</v>
      </c>
      <c r="B28" s="508" t="s">
        <v>1217</v>
      </c>
      <c r="C28" s="505">
        <v>40300</v>
      </c>
      <c r="D28" s="505">
        <v>54715.7</v>
      </c>
      <c r="E28" s="505">
        <v>59801.9</v>
      </c>
      <c r="F28" s="497">
        <f t="shared" si="1"/>
        <v>148.39181141439207</v>
      </c>
      <c r="G28" s="498">
        <f t="shared" si="0"/>
        <v>109.29568661280035</v>
      </c>
    </row>
    <row r="29" spans="1:7" ht="48">
      <c r="A29" s="515" t="s">
        <v>98</v>
      </c>
      <c r="B29" s="508" t="s">
        <v>1218</v>
      </c>
      <c r="C29" s="505">
        <v>500</v>
      </c>
      <c r="D29" s="505">
        <v>500</v>
      </c>
      <c r="E29" s="505">
        <v>-3904.1</v>
      </c>
      <c r="F29" s="497">
        <v>0</v>
      </c>
      <c r="G29" s="498">
        <v>0</v>
      </c>
    </row>
    <row r="30" spans="1:7" ht="15">
      <c r="A30" s="502" t="s">
        <v>111</v>
      </c>
      <c r="B30" s="503" t="s">
        <v>110</v>
      </c>
      <c r="C30" s="504">
        <f>C39+C42+C31+C45</f>
        <v>290855</v>
      </c>
      <c r="D30" s="504">
        <f>D39+D42+D31+D45</f>
        <v>311253</v>
      </c>
      <c r="E30" s="504">
        <f>E39+E42+E31+E45</f>
        <v>318735.5</v>
      </c>
      <c r="F30" s="497">
        <f t="shared" si="1"/>
        <v>109.58570421687783</v>
      </c>
      <c r="G30" s="498">
        <f t="shared" si="0"/>
        <v>102.40399289324118</v>
      </c>
    </row>
    <row r="31" spans="1:7" ht="24">
      <c r="A31" s="502" t="s">
        <v>80</v>
      </c>
      <c r="B31" s="503" t="s">
        <v>208</v>
      </c>
      <c r="C31" s="504">
        <f>C32+C35+C38</f>
        <v>178500</v>
      </c>
      <c r="D31" s="504">
        <f>D32+D35+D38</f>
        <v>178500</v>
      </c>
      <c r="E31" s="504">
        <f>E32+E35+E38</f>
        <v>182157.9</v>
      </c>
      <c r="F31" s="497">
        <f t="shared" si="1"/>
        <v>102.04924369747899</v>
      </c>
      <c r="G31" s="498">
        <f t="shared" si="0"/>
        <v>102.04924369747899</v>
      </c>
    </row>
    <row r="32" spans="1:7" ht="24">
      <c r="A32" s="502" t="s">
        <v>992</v>
      </c>
      <c r="B32" s="503" t="s">
        <v>209</v>
      </c>
      <c r="C32" s="504">
        <f>SUM(C33:C34)</f>
        <v>141000</v>
      </c>
      <c r="D32" s="504">
        <f>SUM(D33:D34)</f>
        <v>141000</v>
      </c>
      <c r="E32" s="504">
        <f>SUM(E33:E34)</f>
        <v>146025.6</v>
      </c>
      <c r="F32" s="497">
        <f t="shared" si="1"/>
        <v>103.56425531914894</v>
      </c>
      <c r="G32" s="498">
        <f t="shared" si="0"/>
        <v>103.56425531914894</v>
      </c>
    </row>
    <row r="33" spans="1:7" ht="24">
      <c r="A33" s="502" t="s">
        <v>993</v>
      </c>
      <c r="B33" s="503" t="s">
        <v>209</v>
      </c>
      <c r="C33" s="505">
        <v>141000</v>
      </c>
      <c r="D33" s="505">
        <v>141000</v>
      </c>
      <c r="E33" s="505">
        <v>146154.2</v>
      </c>
      <c r="F33" s="497">
        <f t="shared" si="1"/>
        <v>103.6554609929078</v>
      </c>
      <c r="G33" s="498">
        <f t="shared" si="0"/>
        <v>103.6554609929078</v>
      </c>
    </row>
    <row r="34" spans="1:7" ht="36">
      <c r="A34" s="502" t="s">
        <v>15</v>
      </c>
      <c r="B34" s="503" t="s">
        <v>210</v>
      </c>
      <c r="C34" s="505">
        <v>0</v>
      </c>
      <c r="D34" s="505">
        <v>0</v>
      </c>
      <c r="E34" s="505">
        <v>-128.6</v>
      </c>
      <c r="F34" s="497">
        <v>0</v>
      </c>
      <c r="G34" s="498">
        <v>0</v>
      </c>
    </row>
    <row r="35" spans="1:7" ht="24">
      <c r="A35" s="502" t="s">
        <v>16</v>
      </c>
      <c r="B35" s="503" t="s">
        <v>211</v>
      </c>
      <c r="C35" s="504">
        <f>SUM(C36:C37)</f>
        <v>26000</v>
      </c>
      <c r="D35" s="504">
        <f>SUM(D36:D37)</f>
        <v>28500</v>
      </c>
      <c r="E35" s="504">
        <f>SUM(E36:E37)</f>
        <v>27775.4</v>
      </c>
      <c r="F35" s="497">
        <f t="shared" si="1"/>
        <v>106.82846153846155</v>
      </c>
      <c r="G35" s="498">
        <f t="shared" si="0"/>
        <v>97.45754385964914</v>
      </c>
    </row>
    <row r="36" spans="1:7" ht="24">
      <c r="A36" s="502" t="s">
        <v>17</v>
      </c>
      <c r="B36" s="503" t="s">
        <v>211</v>
      </c>
      <c r="C36" s="505">
        <v>26000</v>
      </c>
      <c r="D36" s="505">
        <v>28500</v>
      </c>
      <c r="E36" s="505">
        <v>28044.7</v>
      </c>
      <c r="F36" s="497">
        <f t="shared" si="1"/>
        <v>107.86423076923077</v>
      </c>
      <c r="G36" s="498">
        <f t="shared" si="0"/>
        <v>98.40245614035088</v>
      </c>
    </row>
    <row r="37" spans="1:7" ht="36">
      <c r="A37" s="502" t="s">
        <v>1405</v>
      </c>
      <c r="B37" s="503" t="s">
        <v>212</v>
      </c>
      <c r="C37" s="505">
        <v>0</v>
      </c>
      <c r="D37" s="505">
        <v>0</v>
      </c>
      <c r="E37" s="505">
        <v>-269.3</v>
      </c>
      <c r="F37" s="497">
        <v>0</v>
      </c>
      <c r="G37" s="498">
        <v>0</v>
      </c>
    </row>
    <row r="38" spans="1:7" ht="24">
      <c r="A38" s="502" t="s">
        <v>1513</v>
      </c>
      <c r="B38" s="503" t="s">
        <v>12</v>
      </c>
      <c r="C38" s="505">
        <v>11500</v>
      </c>
      <c r="D38" s="505">
        <v>9000</v>
      </c>
      <c r="E38" s="505">
        <v>8356.9</v>
      </c>
      <c r="F38" s="497">
        <f t="shared" si="1"/>
        <v>72.66869565217391</v>
      </c>
      <c r="G38" s="498">
        <f t="shared" si="0"/>
        <v>92.85444444444444</v>
      </c>
    </row>
    <row r="39" spans="1:7" ht="24">
      <c r="A39" s="502" t="s">
        <v>23</v>
      </c>
      <c r="B39" s="500" t="s">
        <v>393</v>
      </c>
      <c r="C39" s="504">
        <f>C40+C41</f>
        <v>106000</v>
      </c>
      <c r="D39" s="504">
        <f>D40+D41</f>
        <v>124156</v>
      </c>
      <c r="E39" s="504">
        <f>E40+E41</f>
        <v>126076.2</v>
      </c>
      <c r="F39" s="497">
        <f t="shared" si="1"/>
        <v>118.9398113207547</v>
      </c>
      <c r="G39" s="498">
        <f t="shared" si="0"/>
        <v>101.5466026611682</v>
      </c>
    </row>
    <row r="40" spans="1:7" ht="15">
      <c r="A40" s="502" t="s">
        <v>744</v>
      </c>
      <c r="B40" s="516" t="s">
        <v>393</v>
      </c>
      <c r="C40" s="505">
        <v>106000</v>
      </c>
      <c r="D40" s="505">
        <v>124156</v>
      </c>
      <c r="E40" s="505">
        <v>125766.3</v>
      </c>
      <c r="F40" s="497">
        <f t="shared" si="1"/>
        <v>118.64745283018867</v>
      </c>
      <c r="G40" s="498">
        <f t="shared" si="0"/>
        <v>101.29699732594477</v>
      </c>
    </row>
    <row r="41" spans="1:7" ht="24">
      <c r="A41" s="502" t="s">
        <v>65</v>
      </c>
      <c r="B41" s="516" t="s">
        <v>213</v>
      </c>
      <c r="C41" s="505">
        <v>0</v>
      </c>
      <c r="D41" s="505">
        <v>0</v>
      </c>
      <c r="E41" s="505">
        <v>309.9</v>
      </c>
      <c r="F41" s="497">
        <v>0</v>
      </c>
      <c r="G41" s="498">
        <v>0</v>
      </c>
    </row>
    <row r="42" spans="1:7" ht="31.5" customHeight="1" hidden="1">
      <c r="A42" s="502" t="s">
        <v>453</v>
      </c>
      <c r="B42" s="500" t="s">
        <v>774</v>
      </c>
      <c r="C42" s="504">
        <f>C43</f>
        <v>785</v>
      </c>
      <c r="D42" s="504">
        <f>D43</f>
        <v>27</v>
      </c>
      <c r="E42" s="504">
        <f>E43</f>
        <v>28.5</v>
      </c>
      <c r="F42" s="497">
        <f t="shared" si="1"/>
        <v>3.6305732484076434</v>
      </c>
      <c r="G42" s="498">
        <f t="shared" si="0"/>
        <v>105.55555555555556</v>
      </c>
    </row>
    <row r="43" spans="1:7" ht="15">
      <c r="A43" s="502" t="s">
        <v>1514</v>
      </c>
      <c r="B43" s="516" t="s">
        <v>774</v>
      </c>
      <c r="C43" s="505">
        <v>785</v>
      </c>
      <c r="D43" s="505">
        <v>27</v>
      </c>
      <c r="E43" s="505">
        <v>28.5</v>
      </c>
      <c r="F43" s="497">
        <f t="shared" si="1"/>
        <v>3.6305732484076434</v>
      </c>
      <c r="G43" s="498">
        <f t="shared" si="0"/>
        <v>105.55555555555556</v>
      </c>
    </row>
    <row r="44" spans="1:7" ht="24">
      <c r="A44" s="502" t="s">
        <v>1515</v>
      </c>
      <c r="B44" s="517" t="s">
        <v>214</v>
      </c>
      <c r="C44" s="504">
        <f>C45</f>
        <v>5570</v>
      </c>
      <c r="D44" s="504">
        <f>D45</f>
        <v>8570</v>
      </c>
      <c r="E44" s="504">
        <f>E45</f>
        <v>10472.9</v>
      </c>
      <c r="F44" s="497">
        <f t="shared" si="1"/>
        <v>188.02333931777378</v>
      </c>
      <c r="G44" s="498">
        <f t="shared" si="0"/>
        <v>122.20420070011669</v>
      </c>
    </row>
    <row r="45" spans="1:7" ht="31.5" customHeight="1" hidden="1">
      <c r="A45" s="502" t="s">
        <v>384</v>
      </c>
      <c r="B45" s="516" t="s">
        <v>215</v>
      </c>
      <c r="C45" s="505">
        <v>5570</v>
      </c>
      <c r="D45" s="505">
        <v>8570</v>
      </c>
      <c r="E45" s="505">
        <v>10472.9</v>
      </c>
      <c r="F45" s="497">
        <f t="shared" si="1"/>
        <v>188.02333931777378</v>
      </c>
      <c r="G45" s="498">
        <f t="shared" si="0"/>
        <v>122.20420070011669</v>
      </c>
    </row>
    <row r="46" spans="1:7" ht="15">
      <c r="A46" s="24" t="s">
        <v>582</v>
      </c>
      <c r="B46" s="503" t="s">
        <v>581</v>
      </c>
      <c r="C46" s="504">
        <f>C47+C52+C49</f>
        <v>932267</v>
      </c>
      <c r="D46" s="504">
        <f>D47+D52+D49</f>
        <v>1276597</v>
      </c>
      <c r="E46" s="504">
        <f>E47+E52+E49</f>
        <v>1316298.0000000002</v>
      </c>
      <c r="F46" s="497">
        <f t="shared" si="1"/>
        <v>141.1932418502425</v>
      </c>
      <c r="G46" s="498">
        <f t="shared" si="0"/>
        <v>103.10990860858989</v>
      </c>
    </row>
    <row r="47" spans="1:7" ht="15">
      <c r="A47" s="502" t="s">
        <v>126</v>
      </c>
      <c r="B47" s="518" t="s">
        <v>125</v>
      </c>
      <c r="C47" s="504">
        <f>C48</f>
        <v>72850</v>
      </c>
      <c r="D47" s="504">
        <f>D48</f>
        <v>85220</v>
      </c>
      <c r="E47" s="504">
        <f>E48</f>
        <v>84876.1</v>
      </c>
      <c r="F47" s="497">
        <f t="shared" si="1"/>
        <v>116.50803019903913</v>
      </c>
      <c r="G47" s="498">
        <f t="shared" si="0"/>
        <v>99.59645623093172</v>
      </c>
    </row>
    <row r="48" spans="1:7" ht="36">
      <c r="A48" s="502" t="s">
        <v>1042</v>
      </c>
      <c r="B48" s="503" t="s">
        <v>1499</v>
      </c>
      <c r="C48" s="505">
        <v>72850</v>
      </c>
      <c r="D48" s="505">
        <v>85220</v>
      </c>
      <c r="E48" s="505">
        <v>84876.1</v>
      </c>
      <c r="F48" s="497">
        <f t="shared" si="1"/>
        <v>116.50803019903913</v>
      </c>
      <c r="G48" s="498">
        <f t="shared" si="0"/>
        <v>99.59645623093172</v>
      </c>
    </row>
    <row r="49" spans="1:7" ht="31.5" customHeight="1" hidden="1">
      <c r="A49" s="502" t="s">
        <v>216</v>
      </c>
      <c r="B49" s="518" t="s">
        <v>217</v>
      </c>
      <c r="C49" s="504">
        <f>C50+C51</f>
        <v>0</v>
      </c>
      <c r="D49" s="504">
        <f>D50+D51</f>
        <v>0</v>
      </c>
      <c r="E49" s="504">
        <f>E50+E51</f>
        <v>0</v>
      </c>
      <c r="F49" s="497" t="e">
        <f t="shared" si="1"/>
        <v>#DIV/0!</v>
      </c>
      <c r="G49" s="498" t="e">
        <f t="shared" si="0"/>
        <v>#DIV/0!</v>
      </c>
    </row>
    <row r="50" spans="1:7" ht="24" hidden="1">
      <c r="A50" s="502" t="s">
        <v>216</v>
      </c>
      <c r="B50" s="503" t="s">
        <v>218</v>
      </c>
      <c r="C50" s="505"/>
      <c r="D50" s="505"/>
      <c r="E50" s="505"/>
      <c r="F50" s="497"/>
      <c r="G50" s="498"/>
    </row>
    <row r="51" spans="1:7" ht="24" hidden="1">
      <c r="A51" s="502" t="s">
        <v>219</v>
      </c>
      <c r="B51" s="503" t="s">
        <v>220</v>
      </c>
      <c r="C51" s="505"/>
      <c r="D51" s="505"/>
      <c r="E51" s="505"/>
      <c r="F51" s="497"/>
      <c r="G51" s="498"/>
    </row>
    <row r="52" spans="1:7" ht="15">
      <c r="A52" s="502" t="s">
        <v>390</v>
      </c>
      <c r="B52" s="518" t="s">
        <v>1043</v>
      </c>
      <c r="C52" s="504">
        <f>C53+C55+C57+C59</f>
        <v>859417</v>
      </c>
      <c r="D52" s="504">
        <f>D53+D55+D57+D59</f>
        <v>1191377</v>
      </c>
      <c r="E52" s="504">
        <f>E53+E55+E57+E59</f>
        <v>1231421.9000000001</v>
      </c>
      <c r="F52" s="497">
        <f t="shared" si="1"/>
        <v>143.28572741754004</v>
      </c>
      <c r="G52" s="498">
        <f t="shared" si="0"/>
        <v>103.3612282258261</v>
      </c>
    </row>
    <row r="53" spans="1:7" ht="24">
      <c r="A53" s="502" t="s">
        <v>221</v>
      </c>
      <c r="B53" s="503" t="s">
        <v>222</v>
      </c>
      <c r="C53" s="504">
        <f>C54</f>
        <v>136994</v>
      </c>
      <c r="D53" s="504">
        <f>D54</f>
        <v>0</v>
      </c>
      <c r="E53" s="504">
        <f>E54</f>
        <v>0</v>
      </c>
      <c r="F53" s="497">
        <f t="shared" si="1"/>
        <v>0</v>
      </c>
      <c r="G53" s="498">
        <v>0</v>
      </c>
    </row>
    <row r="54" spans="1:7" ht="36">
      <c r="A54" s="502" t="s">
        <v>223</v>
      </c>
      <c r="B54" s="503" t="s">
        <v>224</v>
      </c>
      <c r="C54" s="505">
        <v>136994</v>
      </c>
      <c r="D54" s="505">
        <v>0</v>
      </c>
      <c r="E54" s="505">
        <v>0</v>
      </c>
      <c r="F54" s="497">
        <f t="shared" si="1"/>
        <v>0</v>
      </c>
      <c r="G54" s="498">
        <v>0</v>
      </c>
    </row>
    <row r="55" spans="1:7" ht="24">
      <c r="A55" s="502" t="s">
        <v>225</v>
      </c>
      <c r="B55" s="503" t="s">
        <v>226</v>
      </c>
      <c r="C55" s="504">
        <f>C56</f>
        <v>722423</v>
      </c>
      <c r="D55" s="504">
        <f>D56</f>
        <v>0</v>
      </c>
      <c r="E55" s="504">
        <f>E56</f>
        <v>0</v>
      </c>
      <c r="F55" s="497">
        <f t="shared" si="1"/>
        <v>0</v>
      </c>
      <c r="G55" s="498">
        <v>0</v>
      </c>
    </row>
    <row r="56" spans="1:7" ht="36">
      <c r="A56" s="502" t="s">
        <v>227</v>
      </c>
      <c r="B56" s="503" t="s">
        <v>228</v>
      </c>
      <c r="C56" s="505">
        <v>722423</v>
      </c>
      <c r="D56" s="505">
        <v>0</v>
      </c>
      <c r="E56" s="505">
        <v>0</v>
      </c>
      <c r="F56" s="497">
        <f t="shared" si="1"/>
        <v>0</v>
      </c>
      <c r="G56" s="498">
        <v>0</v>
      </c>
    </row>
    <row r="57" spans="1:7" ht="15">
      <c r="A57" s="563" t="s">
        <v>887</v>
      </c>
      <c r="B57" s="562" t="s">
        <v>321</v>
      </c>
      <c r="C57" s="505">
        <f>C58</f>
        <v>0</v>
      </c>
      <c r="D57" s="505">
        <f>D58</f>
        <v>940860.3</v>
      </c>
      <c r="E57" s="505">
        <f>E58</f>
        <v>979771.3</v>
      </c>
      <c r="F57" s="497">
        <v>0</v>
      </c>
      <c r="G57" s="498">
        <f t="shared" si="0"/>
        <v>104.13568305517833</v>
      </c>
    </row>
    <row r="58" spans="1:7" ht="17.25" customHeight="1">
      <c r="A58" s="530" t="s">
        <v>442</v>
      </c>
      <c r="B58" s="562" t="s">
        <v>441</v>
      </c>
      <c r="C58" s="505">
        <v>0</v>
      </c>
      <c r="D58" s="505">
        <v>940860.3</v>
      </c>
      <c r="E58" s="505">
        <v>979771.3</v>
      </c>
      <c r="F58" s="497">
        <v>0</v>
      </c>
      <c r="G58" s="498">
        <f t="shared" si="0"/>
        <v>104.13568305517833</v>
      </c>
    </row>
    <row r="59" spans="1:7" ht="15">
      <c r="A59" s="530" t="s">
        <v>444</v>
      </c>
      <c r="B59" s="562" t="s">
        <v>443</v>
      </c>
      <c r="C59" s="505">
        <f>C60</f>
        <v>0</v>
      </c>
      <c r="D59" s="505">
        <f>D60</f>
        <v>250516.7</v>
      </c>
      <c r="E59" s="505">
        <f>E60</f>
        <v>251650.6</v>
      </c>
      <c r="F59" s="497">
        <v>0</v>
      </c>
      <c r="G59" s="498">
        <f t="shared" si="0"/>
        <v>100.45262451565105</v>
      </c>
    </row>
    <row r="60" spans="1:7" ht="24">
      <c r="A60" s="530" t="s">
        <v>446</v>
      </c>
      <c r="B60" s="562" t="s">
        <v>445</v>
      </c>
      <c r="C60" s="505">
        <v>0</v>
      </c>
      <c r="D60" s="505">
        <v>250516.7</v>
      </c>
      <c r="E60" s="505">
        <v>251650.6</v>
      </c>
      <c r="F60" s="497">
        <v>0</v>
      </c>
      <c r="G60" s="498">
        <f t="shared" si="0"/>
        <v>100.45262451565105</v>
      </c>
    </row>
    <row r="61" spans="1:7" ht="15">
      <c r="A61" s="502" t="s">
        <v>623</v>
      </c>
      <c r="B61" s="503" t="s">
        <v>975</v>
      </c>
      <c r="C61" s="504">
        <f>C62+C64+C65</f>
        <v>24410</v>
      </c>
      <c r="D61" s="504">
        <f>D62+D64+D65</f>
        <v>29410</v>
      </c>
      <c r="E61" s="504">
        <f>E62+E64+E65</f>
        <v>30633.3</v>
      </c>
      <c r="F61" s="497">
        <f t="shared" si="1"/>
        <v>125.49487914789022</v>
      </c>
      <c r="G61" s="498">
        <f t="shared" si="0"/>
        <v>104.15946956817407</v>
      </c>
    </row>
    <row r="62" spans="1:7" ht="24">
      <c r="A62" s="502" t="s">
        <v>1642</v>
      </c>
      <c r="B62" s="503" t="s">
        <v>1676</v>
      </c>
      <c r="C62" s="504">
        <f>C63</f>
        <v>23300</v>
      </c>
      <c r="D62" s="504">
        <f>D63</f>
        <v>27700</v>
      </c>
      <c r="E62" s="504">
        <f>E63</f>
        <v>28958.3</v>
      </c>
      <c r="F62" s="497">
        <f t="shared" si="1"/>
        <v>124.28454935622317</v>
      </c>
      <c r="G62" s="498">
        <f t="shared" si="0"/>
        <v>104.54259927797833</v>
      </c>
    </row>
    <row r="63" spans="1:7" ht="24">
      <c r="A63" s="502" t="s">
        <v>1235</v>
      </c>
      <c r="B63" s="503" t="s">
        <v>229</v>
      </c>
      <c r="C63" s="505">
        <v>23300</v>
      </c>
      <c r="D63" s="505">
        <v>27700</v>
      </c>
      <c r="E63" s="505">
        <v>28958.3</v>
      </c>
      <c r="F63" s="497">
        <f t="shared" si="1"/>
        <v>124.28454935622317</v>
      </c>
      <c r="G63" s="498">
        <f t="shared" si="0"/>
        <v>104.54259927797833</v>
      </c>
    </row>
    <row r="64" spans="1:7" ht="24" hidden="1">
      <c r="A64" s="502" t="s">
        <v>230</v>
      </c>
      <c r="B64" s="503" t="s">
        <v>231</v>
      </c>
      <c r="C64" s="505">
        <v>0</v>
      </c>
      <c r="D64" s="496">
        <v>0</v>
      </c>
      <c r="E64" s="519"/>
      <c r="F64" s="497"/>
      <c r="G64" s="498"/>
    </row>
    <row r="65" spans="1:7" ht="24">
      <c r="A65" s="502" t="s">
        <v>439</v>
      </c>
      <c r="B65" s="503" t="s">
        <v>1308</v>
      </c>
      <c r="C65" s="504">
        <f>C66+C67</f>
        <v>1110</v>
      </c>
      <c r="D65" s="504">
        <f>D66+D67</f>
        <v>1710</v>
      </c>
      <c r="E65" s="504">
        <f>E66+E67</f>
        <v>1675</v>
      </c>
      <c r="F65" s="497">
        <f t="shared" si="1"/>
        <v>150.9009009009009</v>
      </c>
      <c r="G65" s="498">
        <f t="shared" si="0"/>
        <v>97.953216374269</v>
      </c>
    </row>
    <row r="66" spans="1:7" ht="48" hidden="1">
      <c r="A66" s="502" t="s">
        <v>232</v>
      </c>
      <c r="B66" s="503" t="s">
        <v>233</v>
      </c>
      <c r="C66" s="505">
        <v>0</v>
      </c>
      <c r="D66" s="505">
        <v>0</v>
      </c>
      <c r="E66" s="520">
        <v>0</v>
      </c>
      <c r="F66" s="497"/>
      <c r="G66" s="498"/>
    </row>
    <row r="67" spans="1:7" ht="31.5" customHeight="1">
      <c r="A67" s="502" t="s">
        <v>440</v>
      </c>
      <c r="B67" s="503" t="s">
        <v>24</v>
      </c>
      <c r="C67" s="505">
        <v>1110</v>
      </c>
      <c r="D67" s="505">
        <v>1710</v>
      </c>
      <c r="E67" s="505">
        <v>1675</v>
      </c>
      <c r="F67" s="497">
        <f t="shared" si="1"/>
        <v>150.9009009009009</v>
      </c>
      <c r="G67" s="498">
        <f t="shared" si="0"/>
        <v>97.953216374269</v>
      </c>
    </row>
    <row r="68" spans="1:7" ht="31.5" customHeight="1">
      <c r="A68" s="502" t="s">
        <v>1310</v>
      </c>
      <c r="B68" s="503" t="s">
        <v>691</v>
      </c>
      <c r="C68" s="523">
        <f>C69+C74+C76+C71</f>
        <v>0</v>
      </c>
      <c r="D68" s="523">
        <f>D69+D74+D76+D71</f>
        <v>0</v>
      </c>
      <c r="E68" s="523">
        <f>E71+E74+E83</f>
        <v>81.89999999999999</v>
      </c>
      <c r="F68" s="497">
        <v>0</v>
      </c>
      <c r="G68" s="498">
        <v>0</v>
      </c>
    </row>
    <row r="69" spans="1:7" ht="15.75" customHeight="1" hidden="1">
      <c r="A69" s="502" t="s">
        <v>981</v>
      </c>
      <c r="B69" s="524" t="s">
        <v>980</v>
      </c>
      <c r="C69" s="504">
        <f>SUM(C70)</f>
        <v>0</v>
      </c>
      <c r="D69" s="504">
        <f>SUM(D70)</f>
        <v>0</v>
      </c>
      <c r="E69" s="504">
        <f>SUM(E70)</f>
        <v>0</v>
      </c>
      <c r="F69" s="497">
        <v>0</v>
      </c>
      <c r="G69" s="498">
        <v>0</v>
      </c>
    </row>
    <row r="70" spans="1:7" ht="15.75" customHeight="1" hidden="1">
      <c r="A70" s="502" t="s">
        <v>559</v>
      </c>
      <c r="B70" s="524" t="s">
        <v>558</v>
      </c>
      <c r="C70" s="505">
        <v>0</v>
      </c>
      <c r="D70" s="505">
        <v>0</v>
      </c>
      <c r="E70" s="505">
        <v>0</v>
      </c>
      <c r="F70" s="497">
        <v>0</v>
      </c>
      <c r="G70" s="498">
        <v>0</v>
      </c>
    </row>
    <row r="71" spans="1:7" ht="31.5" customHeight="1">
      <c r="A71" s="502" t="s">
        <v>1635</v>
      </c>
      <c r="B71" s="524" t="s">
        <v>1433</v>
      </c>
      <c r="C71" s="504">
        <f aca="true" t="shared" si="2" ref="C71:E72">SUM(C72)</f>
        <v>0</v>
      </c>
      <c r="D71" s="504">
        <f t="shared" si="2"/>
        <v>0</v>
      </c>
      <c r="E71" s="504">
        <f t="shared" si="2"/>
        <v>70.7</v>
      </c>
      <c r="F71" s="497">
        <v>0</v>
      </c>
      <c r="G71" s="498">
        <v>0</v>
      </c>
    </row>
    <row r="72" spans="1:7" ht="15.75" customHeight="1">
      <c r="A72" s="502" t="s">
        <v>1208</v>
      </c>
      <c r="B72" s="524" t="s">
        <v>1292</v>
      </c>
      <c r="C72" s="504">
        <f t="shared" si="2"/>
        <v>0</v>
      </c>
      <c r="D72" s="504">
        <f t="shared" si="2"/>
        <v>0</v>
      </c>
      <c r="E72" s="504">
        <f t="shared" si="2"/>
        <v>70.7</v>
      </c>
      <c r="F72" s="497">
        <v>0</v>
      </c>
      <c r="G72" s="498">
        <v>0</v>
      </c>
    </row>
    <row r="73" spans="1:7" ht="15.75" customHeight="1">
      <c r="A73" s="502" t="s">
        <v>31</v>
      </c>
      <c r="B73" s="524" t="s">
        <v>984</v>
      </c>
      <c r="C73" s="505">
        <v>0</v>
      </c>
      <c r="D73" s="505">
        <v>0</v>
      </c>
      <c r="E73" s="520">
        <v>70.7</v>
      </c>
      <c r="F73" s="497">
        <v>0</v>
      </c>
      <c r="G73" s="498">
        <v>0</v>
      </c>
    </row>
    <row r="74" spans="1:7" ht="15.75" customHeight="1">
      <c r="A74" s="502" t="s">
        <v>986</v>
      </c>
      <c r="B74" s="503" t="s">
        <v>985</v>
      </c>
      <c r="C74" s="504">
        <f>SUM(C75)</f>
        <v>0</v>
      </c>
      <c r="D74" s="504">
        <f>SUM(D75)</f>
        <v>0</v>
      </c>
      <c r="E74" s="504">
        <f>SUM(E75)</f>
        <v>3.1</v>
      </c>
      <c r="F74" s="497">
        <v>0</v>
      </c>
      <c r="G74" s="498">
        <v>0</v>
      </c>
    </row>
    <row r="75" spans="1:7" ht="15.75" customHeight="1">
      <c r="A75" s="502" t="s">
        <v>988</v>
      </c>
      <c r="B75" s="503" t="s">
        <v>987</v>
      </c>
      <c r="C75" s="505">
        <v>0</v>
      </c>
      <c r="D75" s="521">
        <v>0</v>
      </c>
      <c r="E75" s="505">
        <v>3.1</v>
      </c>
      <c r="F75" s="497">
        <v>0</v>
      </c>
      <c r="G75" s="498">
        <v>0</v>
      </c>
    </row>
    <row r="76" spans="1:7" ht="15.75" customHeight="1" hidden="1">
      <c r="A76" s="24" t="s">
        <v>138</v>
      </c>
      <c r="B76" s="503" t="s">
        <v>989</v>
      </c>
      <c r="C76" s="505">
        <v>0</v>
      </c>
      <c r="D76" s="521">
        <v>0</v>
      </c>
      <c r="E76" s="504">
        <f>SUM(E77+E79+E81)</f>
        <v>0</v>
      </c>
      <c r="F76" s="497">
        <v>0</v>
      </c>
      <c r="G76" s="498">
        <v>0</v>
      </c>
    </row>
    <row r="77" spans="1:7" ht="31.5" customHeight="1" hidden="1">
      <c r="A77" s="24" t="s">
        <v>140</v>
      </c>
      <c r="B77" s="524" t="s">
        <v>139</v>
      </c>
      <c r="C77" s="505">
        <v>0</v>
      </c>
      <c r="D77" s="521">
        <v>0</v>
      </c>
      <c r="E77" s="504">
        <f>SUM(E78)</f>
        <v>0</v>
      </c>
      <c r="F77" s="497">
        <v>0</v>
      </c>
      <c r="G77" s="498">
        <v>0</v>
      </c>
    </row>
    <row r="78" spans="1:7" ht="47.25" customHeight="1" hidden="1">
      <c r="A78" s="24" t="s">
        <v>32</v>
      </c>
      <c r="B78" s="524" t="s">
        <v>851</v>
      </c>
      <c r="C78" s="505">
        <v>0</v>
      </c>
      <c r="D78" s="521">
        <v>0</v>
      </c>
      <c r="E78" s="520">
        <v>0</v>
      </c>
      <c r="F78" s="497">
        <v>0</v>
      </c>
      <c r="G78" s="498">
        <v>0</v>
      </c>
    </row>
    <row r="79" spans="1:7" ht="15.75" customHeight="1" hidden="1">
      <c r="A79" s="24" t="s">
        <v>550</v>
      </c>
      <c r="B79" s="524" t="s">
        <v>1412</v>
      </c>
      <c r="C79" s="505">
        <v>0</v>
      </c>
      <c r="D79" s="521">
        <v>0</v>
      </c>
      <c r="E79" s="504">
        <f>SUM(E80)</f>
        <v>0</v>
      </c>
      <c r="F79" s="497">
        <v>0</v>
      </c>
      <c r="G79" s="498">
        <v>0</v>
      </c>
    </row>
    <row r="80" spans="1:7" ht="15.75" customHeight="1" hidden="1">
      <c r="A80" s="24" t="s">
        <v>33</v>
      </c>
      <c r="B80" s="524" t="s">
        <v>631</v>
      </c>
      <c r="C80" s="505">
        <v>0</v>
      </c>
      <c r="D80" s="521">
        <v>0</v>
      </c>
      <c r="E80" s="505">
        <v>0</v>
      </c>
      <c r="F80" s="497">
        <v>0</v>
      </c>
      <c r="G80" s="498">
        <v>0</v>
      </c>
    </row>
    <row r="81" spans="1:7" ht="13.5" hidden="1">
      <c r="A81" s="24" t="s">
        <v>979</v>
      </c>
      <c r="B81" s="524" t="s">
        <v>978</v>
      </c>
      <c r="C81" s="505">
        <v>0</v>
      </c>
      <c r="D81" s="521">
        <v>0</v>
      </c>
      <c r="E81" s="504">
        <f>SUM(E82)</f>
        <v>0</v>
      </c>
      <c r="F81" s="497">
        <v>0</v>
      </c>
      <c r="G81" s="498">
        <v>0</v>
      </c>
    </row>
    <row r="82" spans="1:7" ht="13.5" hidden="1">
      <c r="A82" s="24" t="s">
        <v>34</v>
      </c>
      <c r="B82" s="524" t="s">
        <v>845</v>
      </c>
      <c r="C82" s="505">
        <v>0</v>
      </c>
      <c r="D82" s="521">
        <v>0</v>
      </c>
      <c r="E82" s="496">
        <v>0</v>
      </c>
      <c r="F82" s="497">
        <v>0</v>
      </c>
      <c r="G82" s="498">
        <v>0</v>
      </c>
    </row>
    <row r="83" spans="1:7" ht="15">
      <c r="A83" s="24" t="s">
        <v>138</v>
      </c>
      <c r="B83" s="524" t="s">
        <v>234</v>
      </c>
      <c r="C83" s="505">
        <v>0</v>
      </c>
      <c r="D83" s="521">
        <v>0</v>
      </c>
      <c r="E83" s="525">
        <f>E84+E86+E88</f>
        <v>8.1</v>
      </c>
      <c r="F83" s="497">
        <v>0</v>
      </c>
      <c r="G83" s="498">
        <v>0</v>
      </c>
    </row>
    <row r="84" spans="1:7" ht="15">
      <c r="A84" s="24" t="s">
        <v>140</v>
      </c>
      <c r="B84" s="524" t="s">
        <v>139</v>
      </c>
      <c r="C84" s="505">
        <v>0</v>
      </c>
      <c r="D84" s="521">
        <v>0</v>
      </c>
      <c r="E84" s="526">
        <f>E85</f>
        <v>0.2</v>
      </c>
      <c r="F84" s="497">
        <v>0</v>
      </c>
      <c r="G84" s="498">
        <v>0</v>
      </c>
    </row>
    <row r="85" spans="1:7" ht="15">
      <c r="A85" s="24" t="s">
        <v>32</v>
      </c>
      <c r="B85" s="524" t="s">
        <v>851</v>
      </c>
      <c r="C85" s="505">
        <v>0</v>
      </c>
      <c r="D85" s="521">
        <v>0</v>
      </c>
      <c r="E85" s="496">
        <v>0.2</v>
      </c>
      <c r="F85" s="497">
        <v>0</v>
      </c>
      <c r="G85" s="498">
        <v>0</v>
      </c>
    </row>
    <row r="86" spans="1:7" ht="36">
      <c r="A86" s="24" t="s">
        <v>550</v>
      </c>
      <c r="B86" s="524" t="s">
        <v>235</v>
      </c>
      <c r="C86" s="505">
        <v>0</v>
      </c>
      <c r="D86" s="521">
        <v>0</v>
      </c>
      <c r="E86" s="526">
        <f>E87</f>
        <v>3.4</v>
      </c>
      <c r="F86" s="497">
        <v>0</v>
      </c>
      <c r="G86" s="498">
        <v>0</v>
      </c>
    </row>
    <row r="87" spans="1:7" ht="31.5" customHeight="1" hidden="1">
      <c r="A87" s="24" t="s">
        <v>33</v>
      </c>
      <c r="B87" s="524" t="s">
        <v>236</v>
      </c>
      <c r="C87" s="505">
        <v>0</v>
      </c>
      <c r="D87" s="521">
        <v>0</v>
      </c>
      <c r="E87" s="496">
        <v>3.4</v>
      </c>
      <c r="F87" s="497">
        <v>0</v>
      </c>
      <c r="G87" s="498">
        <v>0</v>
      </c>
    </row>
    <row r="88" spans="1:7" ht="31.5" customHeight="1" hidden="1">
      <c r="A88" s="24" t="s">
        <v>979</v>
      </c>
      <c r="B88" s="524" t="s">
        <v>978</v>
      </c>
      <c r="C88" s="505">
        <v>0</v>
      </c>
      <c r="D88" s="521">
        <v>0</v>
      </c>
      <c r="E88" s="526">
        <f>E89</f>
        <v>4.5</v>
      </c>
      <c r="F88" s="497">
        <v>0</v>
      </c>
      <c r="G88" s="498">
        <v>0</v>
      </c>
    </row>
    <row r="89" spans="1:7" ht="24">
      <c r="A89" s="24" t="s">
        <v>34</v>
      </c>
      <c r="B89" s="524" t="s">
        <v>845</v>
      </c>
      <c r="C89" s="505">
        <v>0</v>
      </c>
      <c r="D89" s="521">
        <v>0</v>
      </c>
      <c r="E89" s="496">
        <v>4.5</v>
      </c>
      <c r="F89" s="497">
        <v>0</v>
      </c>
      <c r="G89" s="498">
        <v>0</v>
      </c>
    </row>
    <row r="90" spans="1:7" ht="24">
      <c r="A90" s="24" t="s">
        <v>1282</v>
      </c>
      <c r="B90" s="524" t="s">
        <v>1597</v>
      </c>
      <c r="C90" s="504">
        <f>SUM(C91+C93+C95+C106+C109)</f>
        <v>1121108.9</v>
      </c>
      <c r="D90" s="504">
        <f>SUM(D91+D93+D95+D106+D109)</f>
        <v>937410.9</v>
      </c>
      <c r="E90" s="504">
        <f>SUM(E91+E93+E95+E106+E109+E104)</f>
        <v>931378.2</v>
      </c>
      <c r="F90" s="497">
        <f t="shared" si="1"/>
        <v>83.07651469005376</v>
      </c>
      <c r="G90" s="498">
        <f t="shared" si="0"/>
        <v>99.35645083708755</v>
      </c>
    </row>
    <row r="91" spans="1:7" ht="36">
      <c r="A91" s="24" t="s">
        <v>1260</v>
      </c>
      <c r="B91" s="524" t="s">
        <v>237</v>
      </c>
      <c r="C91" s="504">
        <f>SUM(C92)</f>
        <v>1546.9</v>
      </c>
      <c r="D91" s="504">
        <f>SUM(D92)</f>
        <v>4478.9</v>
      </c>
      <c r="E91" s="504">
        <f>SUM(E92)</f>
        <v>4478.9</v>
      </c>
      <c r="F91" s="497">
        <f t="shared" si="1"/>
        <v>289.54037106471003</v>
      </c>
      <c r="G91" s="498">
        <f t="shared" si="0"/>
        <v>100</v>
      </c>
    </row>
    <row r="92" spans="1:7" ht="30" customHeight="1">
      <c r="A92" s="24" t="s">
        <v>1261</v>
      </c>
      <c r="B92" s="524" t="s">
        <v>114</v>
      </c>
      <c r="C92" s="505">
        <v>1546.9</v>
      </c>
      <c r="D92" s="505">
        <v>4478.9</v>
      </c>
      <c r="E92" s="496">
        <v>4478.9</v>
      </c>
      <c r="F92" s="497">
        <f t="shared" si="1"/>
        <v>289.54037106471003</v>
      </c>
      <c r="G92" s="498">
        <f t="shared" si="0"/>
        <v>100</v>
      </c>
    </row>
    <row r="93" spans="1:7" ht="13.5" hidden="1">
      <c r="A93" s="24" t="s">
        <v>238</v>
      </c>
      <c r="B93" s="524" t="s">
        <v>239</v>
      </c>
      <c r="C93" s="504">
        <f>SUM(C94)</f>
        <v>0</v>
      </c>
      <c r="D93" s="504">
        <f>SUM(D94)</f>
        <v>0</v>
      </c>
      <c r="E93" s="504">
        <f>SUM(E94)</f>
        <v>0</v>
      </c>
      <c r="F93" s="497"/>
      <c r="G93" s="498"/>
    </row>
    <row r="94" spans="1:7" ht="24" hidden="1">
      <c r="A94" s="24" t="s">
        <v>240</v>
      </c>
      <c r="B94" s="524" t="s">
        <v>241</v>
      </c>
      <c r="C94" s="505"/>
      <c r="D94" s="505"/>
      <c r="E94" s="496"/>
      <c r="F94" s="497"/>
      <c r="G94" s="498"/>
    </row>
    <row r="95" spans="1:7" ht="60">
      <c r="A95" s="24" t="s">
        <v>426</v>
      </c>
      <c r="B95" s="524" t="s">
        <v>242</v>
      </c>
      <c r="C95" s="523">
        <f>C96+C100+C102</f>
        <v>1090562</v>
      </c>
      <c r="D95" s="523">
        <f>D96+D100+D102</f>
        <v>893462</v>
      </c>
      <c r="E95" s="523">
        <f>E96+E100+E102</f>
        <v>884441.7</v>
      </c>
      <c r="F95" s="497">
        <f t="shared" si="1"/>
        <v>81.0996256975761</v>
      </c>
      <c r="G95" s="498">
        <f aca="true" t="shared" si="3" ref="G95:G159">E95/D95*100</f>
        <v>98.99041033642169</v>
      </c>
    </row>
    <row r="96" spans="1:7" ht="48">
      <c r="A96" s="527" t="s">
        <v>760</v>
      </c>
      <c r="B96" s="503" t="s">
        <v>1255</v>
      </c>
      <c r="C96" s="504">
        <f>C97</f>
        <v>980062</v>
      </c>
      <c r="D96" s="504">
        <f>D97</f>
        <v>782962</v>
      </c>
      <c r="E96" s="504">
        <f>E97</f>
        <v>769451.6</v>
      </c>
      <c r="F96" s="497">
        <f aca="true" t="shared" si="4" ref="F96:F154">E96/C96*100</f>
        <v>78.51050239678715</v>
      </c>
      <c r="G96" s="498">
        <f t="shared" si="3"/>
        <v>98.27445010102662</v>
      </c>
    </row>
    <row r="97" spans="1:7" ht="48">
      <c r="A97" s="527" t="s">
        <v>697</v>
      </c>
      <c r="B97" s="503" t="s">
        <v>487</v>
      </c>
      <c r="C97" s="505">
        <v>980062</v>
      </c>
      <c r="D97" s="505">
        <v>782962</v>
      </c>
      <c r="E97" s="505">
        <v>769451.6</v>
      </c>
      <c r="F97" s="497">
        <f t="shared" si="4"/>
        <v>78.51050239678715</v>
      </c>
      <c r="G97" s="498">
        <f t="shared" si="3"/>
        <v>98.27445010102662</v>
      </c>
    </row>
    <row r="98" spans="1:7" ht="36" hidden="1">
      <c r="A98" s="502" t="s">
        <v>143</v>
      </c>
      <c r="B98" s="528" t="s">
        <v>142</v>
      </c>
      <c r="C98" s="504">
        <f>C99</f>
        <v>0</v>
      </c>
      <c r="D98" s="504">
        <f>D99</f>
        <v>0</v>
      </c>
      <c r="E98" s="504">
        <f>E99</f>
        <v>0</v>
      </c>
      <c r="F98" s="497"/>
      <c r="G98" s="498"/>
    </row>
    <row r="99" spans="1:7" ht="24" hidden="1">
      <c r="A99" s="502" t="s">
        <v>1701</v>
      </c>
      <c r="B99" s="503" t="s">
        <v>101</v>
      </c>
      <c r="C99" s="505">
        <v>0</v>
      </c>
      <c r="D99" s="521">
        <v>0</v>
      </c>
      <c r="E99" s="529"/>
      <c r="F99" s="497"/>
      <c r="G99" s="498"/>
    </row>
    <row r="100" spans="1:7" ht="48">
      <c r="A100" s="502" t="s">
        <v>144</v>
      </c>
      <c r="B100" s="503" t="s">
        <v>1716</v>
      </c>
      <c r="C100" s="504">
        <f>C101</f>
        <v>110500</v>
      </c>
      <c r="D100" s="504">
        <f>D101</f>
        <v>60500</v>
      </c>
      <c r="E100" s="504">
        <f>E101</f>
        <v>55906.2</v>
      </c>
      <c r="F100" s="497">
        <f t="shared" si="4"/>
        <v>50.59384615384616</v>
      </c>
      <c r="G100" s="498">
        <f t="shared" si="3"/>
        <v>92.40694214876032</v>
      </c>
    </row>
    <row r="101" spans="1:7" ht="48">
      <c r="A101" s="502" t="s">
        <v>145</v>
      </c>
      <c r="B101" s="503" t="s">
        <v>692</v>
      </c>
      <c r="C101" s="505">
        <v>110500</v>
      </c>
      <c r="D101" s="505">
        <v>60500</v>
      </c>
      <c r="E101" s="505">
        <v>55906.2</v>
      </c>
      <c r="F101" s="497">
        <f t="shared" si="4"/>
        <v>50.59384615384616</v>
      </c>
      <c r="G101" s="498">
        <f t="shared" si="3"/>
        <v>92.40694214876032</v>
      </c>
    </row>
    <row r="102" spans="1:7" ht="24">
      <c r="A102" s="530" t="s">
        <v>1074</v>
      </c>
      <c r="B102" s="503" t="s">
        <v>1073</v>
      </c>
      <c r="C102" s="505">
        <f>C103</f>
        <v>0</v>
      </c>
      <c r="D102" s="505">
        <f>D103</f>
        <v>50000</v>
      </c>
      <c r="E102" s="505">
        <f>E103</f>
        <v>59083.9</v>
      </c>
      <c r="F102" s="497">
        <v>0</v>
      </c>
      <c r="G102" s="498">
        <f t="shared" si="3"/>
        <v>118.1678</v>
      </c>
    </row>
    <row r="103" spans="1:7" ht="24">
      <c r="A103" s="531" t="s">
        <v>1076</v>
      </c>
      <c r="B103" s="503" t="s">
        <v>1075</v>
      </c>
      <c r="C103" s="505">
        <v>0</v>
      </c>
      <c r="D103" s="505">
        <v>50000</v>
      </c>
      <c r="E103" s="505">
        <v>59083.9</v>
      </c>
      <c r="F103" s="497">
        <v>0</v>
      </c>
      <c r="G103" s="498">
        <f t="shared" si="3"/>
        <v>118.1678</v>
      </c>
    </row>
    <row r="104" spans="1:7" ht="36">
      <c r="A104" s="531" t="s">
        <v>243</v>
      </c>
      <c r="B104" s="503" t="s">
        <v>244</v>
      </c>
      <c r="C104" s="505">
        <v>0</v>
      </c>
      <c r="D104" s="505">
        <v>0</v>
      </c>
      <c r="E104" s="532">
        <f>E105</f>
        <v>2.2</v>
      </c>
      <c r="F104" s="497">
        <v>0</v>
      </c>
      <c r="G104" s="498">
        <v>0</v>
      </c>
    </row>
    <row r="105" spans="1:7" ht="48">
      <c r="A105" s="531" t="s">
        <v>245</v>
      </c>
      <c r="B105" s="503" t="s">
        <v>246</v>
      </c>
      <c r="C105" s="505">
        <v>0</v>
      </c>
      <c r="D105" s="505">
        <v>0</v>
      </c>
      <c r="E105" s="505">
        <v>2.2</v>
      </c>
      <c r="F105" s="497">
        <v>0</v>
      </c>
      <c r="G105" s="498">
        <v>0</v>
      </c>
    </row>
    <row r="106" spans="1:7" ht="15">
      <c r="A106" s="502" t="s">
        <v>1702</v>
      </c>
      <c r="B106" s="503" t="s">
        <v>488</v>
      </c>
      <c r="C106" s="504">
        <f aca="true" t="shared" si="5" ref="C106:E107">C107</f>
        <v>300</v>
      </c>
      <c r="D106" s="504">
        <f t="shared" si="5"/>
        <v>270</v>
      </c>
      <c r="E106" s="504">
        <f t="shared" si="5"/>
        <v>271.8</v>
      </c>
      <c r="F106" s="497">
        <f t="shared" si="4"/>
        <v>90.60000000000001</v>
      </c>
      <c r="G106" s="498">
        <f t="shared" si="3"/>
        <v>100.66666666666666</v>
      </c>
    </row>
    <row r="107" spans="1:7" ht="36">
      <c r="A107" s="502" t="s">
        <v>137</v>
      </c>
      <c r="B107" s="503" t="s">
        <v>136</v>
      </c>
      <c r="C107" s="505">
        <f>C108</f>
        <v>300</v>
      </c>
      <c r="D107" s="505">
        <f>D108</f>
        <v>270</v>
      </c>
      <c r="E107" s="505">
        <f t="shared" si="5"/>
        <v>271.8</v>
      </c>
      <c r="F107" s="497">
        <f t="shared" si="4"/>
        <v>90.60000000000001</v>
      </c>
      <c r="G107" s="498">
        <f t="shared" si="3"/>
        <v>100.66666666666666</v>
      </c>
    </row>
    <row r="108" spans="1:7" ht="36">
      <c r="A108" s="502" t="s">
        <v>808</v>
      </c>
      <c r="B108" s="503" t="s">
        <v>807</v>
      </c>
      <c r="C108" s="505">
        <v>300</v>
      </c>
      <c r="D108" s="505">
        <v>270</v>
      </c>
      <c r="E108" s="505">
        <v>271.8</v>
      </c>
      <c r="F108" s="497">
        <f t="shared" si="4"/>
        <v>90.60000000000001</v>
      </c>
      <c r="G108" s="498">
        <f t="shared" si="3"/>
        <v>100.66666666666666</v>
      </c>
    </row>
    <row r="109" spans="1:7" ht="48">
      <c r="A109" s="502" t="s">
        <v>121</v>
      </c>
      <c r="B109" s="506" t="s">
        <v>511</v>
      </c>
      <c r="C109" s="504">
        <f>C110</f>
        <v>28700</v>
      </c>
      <c r="D109" s="504">
        <f>D110</f>
        <v>39200</v>
      </c>
      <c r="E109" s="504">
        <f>E110</f>
        <v>42183.6</v>
      </c>
      <c r="F109" s="497">
        <f t="shared" si="4"/>
        <v>146.98118466898956</v>
      </c>
      <c r="G109" s="498">
        <f t="shared" si="3"/>
        <v>107.61122448979592</v>
      </c>
    </row>
    <row r="110" spans="1:7" ht="48">
      <c r="A110" s="502" t="s">
        <v>1294</v>
      </c>
      <c r="B110" s="533" t="s">
        <v>759</v>
      </c>
      <c r="C110" s="504">
        <f>SUM(C111)</f>
        <v>28700</v>
      </c>
      <c r="D110" s="504">
        <f>SUM(D111)</f>
        <v>39200</v>
      </c>
      <c r="E110" s="504">
        <f>SUM(E111)</f>
        <v>42183.6</v>
      </c>
      <c r="F110" s="497">
        <f t="shared" si="4"/>
        <v>146.98118466898956</v>
      </c>
      <c r="G110" s="498">
        <f t="shared" si="3"/>
        <v>107.61122448979592</v>
      </c>
    </row>
    <row r="111" spans="1:7" ht="48">
      <c r="A111" s="502" t="s">
        <v>1295</v>
      </c>
      <c r="B111" s="524" t="s">
        <v>1678</v>
      </c>
      <c r="C111" s="505">
        <v>28700</v>
      </c>
      <c r="D111" s="505">
        <v>39200</v>
      </c>
      <c r="E111" s="505">
        <v>42183.6</v>
      </c>
      <c r="F111" s="497">
        <f t="shared" si="4"/>
        <v>146.98118466898956</v>
      </c>
      <c r="G111" s="498">
        <f t="shared" si="3"/>
        <v>107.61122448979592</v>
      </c>
    </row>
    <row r="112" spans="1:7" ht="15">
      <c r="A112" s="502" t="s">
        <v>758</v>
      </c>
      <c r="B112" s="528" t="s">
        <v>757</v>
      </c>
      <c r="C112" s="504">
        <f>SUM(C113)</f>
        <v>4700</v>
      </c>
      <c r="D112" s="504">
        <f>SUM(D113)</f>
        <v>6750</v>
      </c>
      <c r="E112" s="504">
        <f>E114+E115+E116+E117</f>
        <v>7035.1</v>
      </c>
      <c r="F112" s="497">
        <f t="shared" si="4"/>
        <v>149.68297872340426</v>
      </c>
      <c r="G112" s="498">
        <f t="shared" si="3"/>
        <v>104.2237037037037</v>
      </c>
    </row>
    <row r="113" spans="1:7" ht="15">
      <c r="A113" s="502" t="s">
        <v>38</v>
      </c>
      <c r="B113" s="503" t="s">
        <v>1274</v>
      </c>
      <c r="C113" s="505">
        <f>C114+C115+C116+C117</f>
        <v>4700</v>
      </c>
      <c r="D113" s="505">
        <f>D114+D115+D116+D117</f>
        <v>6750</v>
      </c>
      <c r="E113" s="505">
        <f>E112</f>
        <v>7035.1</v>
      </c>
      <c r="F113" s="497">
        <f t="shared" si="4"/>
        <v>149.68297872340426</v>
      </c>
      <c r="G113" s="498">
        <f t="shared" si="3"/>
        <v>104.2237037037037</v>
      </c>
    </row>
    <row r="114" spans="1:7" ht="24">
      <c r="A114" s="502" t="s">
        <v>1326</v>
      </c>
      <c r="B114" s="503" t="s">
        <v>1325</v>
      </c>
      <c r="C114" s="505">
        <v>950</v>
      </c>
      <c r="D114" s="505">
        <v>550</v>
      </c>
      <c r="E114" s="505">
        <v>550.8</v>
      </c>
      <c r="F114" s="497">
        <f t="shared" si="4"/>
        <v>57.97894736842105</v>
      </c>
      <c r="G114" s="498">
        <f t="shared" si="3"/>
        <v>100.14545454545454</v>
      </c>
    </row>
    <row r="115" spans="1:7" ht="47.25" customHeight="1" hidden="1">
      <c r="A115" s="502" t="s">
        <v>1328</v>
      </c>
      <c r="B115" s="503" t="s">
        <v>1327</v>
      </c>
      <c r="C115" s="505">
        <v>700</v>
      </c>
      <c r="D115" s="505">
        <v>400</v>
      </c>
      <c r="E115" s="505">
        <v>335.1</v>
      </c>
      <c r="F115" s="497">
        <f t="shared" si="4"/>
        <v>47.871428571428574</v>
      </c>
      <c r="G115" s="498">
        <f t="shared" si="3"/>
        <v>83.775</v>
      </c>
    </row>
    <row r="116" spans="1:7" ht="15">
      <c r="A116" s="502" t="s">
        <v>1330</v>
      </c>
      <c r="B116" s="503" t="s">
        <v>1329</v>
      </c>
      <c r="C116" s="505">
        <v>1500</v>
      </c>
      <c r="D116" s="505">
        <v>1300</v>
      </c>
      <c r="E116" s="505">
        <v>1428.2</v>
      </c>
      <c r="F116" s="497">
        <f t="shared" si="4"/>
        <v>95.21333333333334</v>
      </c>
      <c r="G116" s="498">
        <f t="shared" si="3"/>
        <v>109.86153846153846</v>
      </c>
    </row>
    <row r="117" spans="1:7" ht="15">
      <c r="A117" s="502" t="s">
        <v>247</v>
      </c>
      <c r="B117" s="503" t="s">
        <v>248</v>
      </c>
      <c r="C117" s="505">
        <v>1550</v>
      </c>
      <c r="D117" s="505">
        <v>4500</v>
      </c>
      <c r="E117" s="505">
        <v>4721</v>
      </c>
      <c r="F117" s="497">
        <f t="shared" si="4"/>
        <v>304.5806451612903</v>
      </c>
      <c r="G117" s="498">
        <f t="shared" si="3"/>
        <v>104.91111111111111</v>
      </c>
    </row>
    <row r="118" spans="1:7" ht="24">
      <c r="A118" s="451" t="s">
        <v>1407</v>
      </c>
      <c r="B118" s="503" t="s">
        <v>249</v>
      </c>
      <c r="C118" s="504">
        <f>C119+C121</f>
        <v>1305</v>
      </c>
      <c r="D118" s="504">
        <f>D119+D121</f>
        <v>2115.5</v>
      </c>
      <c r="E118" s="504">
        <f>E119+E121</f>
        <v>1841.8</v>
      </c>
      <c r="F118" s="497">
        <f t="shared" si="4"/>
        <v>141.13409961685824</v>
      </c>
      <c r="G118" s="498">
        <f t="shared" si="3"/>
        <v>87.06216024580478</v>
      </c>
    </row>
    <row r="119" spans="1:7" ht="15">
      <c r="A119" s="534" t="s">
        <v>1459</v>
      </c>
      <c r="B119" s="506" t="s">
        <v>250</v>
      </c>
      <c r="C119" s="504">
        <f>C120</f>
        <v>1300</v>
      </c>
      <c r="D119" s="504">
        <f>D120</f>
        <v>900</v>
      </c>
      <c r="E119" s="504">
        <f>E120</f>
        <v>613.2</v>
      </c>
      <c r="F119" s="497">
        <f t="shared" si="4"/>
        <v>47.16923076923077</v>
      </c>
      <c r="G119" s="498">
        <f t="shared" si="3"/>
        <v>68.13333333333334</v>
      </c>
    </row>
    <row r="120" spans="1:7" ht="24">
      <c r="A120" s="534" t="s">
        <v>699</v>
      </c>
      <c r="B120" s="506" t="s">
        <v>700</v>
      </c>
      <c r="C120" s="505">
        <v>1300</v>
      </c>
      <c r="D120" s="505">
        <v>900</v>
      </c>
      <c r="E120" s="505">
        <v>613.2</v>
      </c>
      <c r="F120" s="497">
        <f t="shared" si="4"/>
        <v>47.16923076923077</v>
      </c>
      <c r="G120" s="498">
        <f t="shared" si="3"/>
        <v>68.13333333333334</v>
      </c>
    </row>
    <row r="121" spans="1:7" ht="15">
      <c r="A121" s="534" t="s">
        <v>1408</v>
      </c>
      <c r="B121" s="506" t="s">
        <v>622</v>
      </c>
      <c r="C121" s="504">
        <f>C122</f>
        <v>5</v>
      </c>
      <c r="D121" s="504">
        <f>D122</f>
        <v>1215.5</v>
      </c>
      <c r="E121" s="504">
        <f>E122</f>
        <v>1228.6</v>
      </c>
      <c r="F121" s="497">
        <f t="shared" si="4"/>
        <v>24571.999999999996</v>
      </c>
      <c r="G121" s="498">
        <f t="shared" si="3"/>
        <v>101.07774578362813</v>
      </c>
    </row>
    <row r="122" spans="1:7" ht="15">
      <c r="A122" s="534" t="s">
        <v>698</v>
      </c>
      <c r="B122" s="506" t="s">
        <v>251</v>
      </c>
      <c r="C122" s="505">
        <v>5</v>
      </c>
      <c r="D122" s="505">
        <v>1215.5</v>
      </c>
      <c r="E122" s="505">
        <v>1228.6</v>
      </c>
      <c r="F122" s="497">
        <f t="shared" si="4"/>
        <v>24571.999999999996</v>
      </c>
      <c r="G122" s="498">
        <f t="shared" si="3"/>
        <v>101.07774578362813</v>
      </c>
    </row>
    <row r="123" spans="1:7" ht="15">
      <c r="A123" s="502" t="s">
        <v>1429</v>
      </c>
      <c r="B123" s="503" t="s">
        <v>1428</v>
      </c>
      <c r="C123" s="504">
        <f>C124+C126+C130</f>
        <v>130547</v>
      </c>
      <c r="D123" s="504">
        <f>D124+D126+D130</f>
        <v>307115.6</v>
      </c>
      <c r="E123" s="504">
        <f>E124+E126+E130</f>
        <v>316079.9</v>
      </c>
      <c r="F123" s="497">
        <f t="shared" si="4"/>
        <v>242.11961975380518</v>
      </c>
      <c r="G123" s="498">
        <f t="shared" si="3"/>
        <v>102.91886833492016</v>
      </c>
    </row>
    <row r="124" spans="1:7" ht="15.75" customHeight="1">
      <c r="A124" s="502" t="s">
        <v>37</v>
      </c>
      <c r="B124" s="503" t="s">
        <v>1430</v>
      </c>
      <c r="C124" s="504">
        <f>C125</f>
        <v>120</v>
      </c>
      <c r="D124" s="504">
        <f>D125</f>
        <v>780</v>
      </c>
      <c r="E124" s="504">
        <f>E125</f>
        <v>1079</v>
      </c>
      <c r="F124" s="497">
        <f t="shared" si="4"/>
        <v>899.1666666666667</v>
      </c>
      <c r="G124" s="498">
        <f t="shared" si="3"/>
        <v>138.33333333333334</v>
      </c>
    </row>
    <row r="125" spans="1:7" ht="31.5" customHeight="1">
      <c r="A125" s="502" t="s">
        <v>72</v>
      </c>
      <c r="B125" s="503" t="s">
        <v>71</v>
      </c>
      <c r="C125" s="505">
        <v>120</v>
      </c>
      <c r="D125" s="505">
        <v>780</v>
      </c>
      <c r="E125" s="505">
        <v>1079</v>
      </c>
      <c r="F125" s="497">
        <f t="shared" si="4"/>
        <v>899.1666666666667</v>
      </c>
      <c r="G125" s="498">
        <f t="shared" si="3"/>
        <v>138.33333333333334</v>
      </c>
    </row>
    <row r="126" spans="1:7" ht="48">
      <c r="A126" s="534" t="s">
        <v>73</v>
      </c>
      <c r="B126" s="503" t="s">
        <v>814</v>
      </c>
      <c r="C126" s="504">
        <f>C127</f>
        <v>64035</v>
      </c>
      <c r="D126" s="504">
        <f>D127</f>
        <v>159425</v>
      </c>
      <c r="E126" s="504">
        <f>E127</f>
        <v>166537.9</v>
      </c>
      <c r="F126" s="497">
        <f t="shared" si="4"/>
        <v>260.0732411962208</v>
      </c>
      <c r="G126" s="498">
        <f t="shared" si="3"/>
        <v>104.46159636192567</v>
      </c>
    </row>
    <row r="127" spans="1:7" ht="60">
      <c r="A127" s="534" t="s">
        <v>1460</v>
      </c>
      <c r="B127" s="506" t="s">
        <v>252</v>
      </c>
      <c r="C127" s="504">
        <f>C128+C129</f>
        <v>64035</v>
      </c>
      <c r="D127" s="504">
        <f>D128+D129</f>
        <v>159425</v>
      </c>
      <c r="E127" s="504">
        <f>E128+E129</f>
        <v>166537.9</v>
      </c>
      <c r="F127" s="497">
        <f t="shared" si="4"/>
        <v>260.0732411962208</v>
      </c>
      <c r="G127" s="498">
        <f t="shared" si="3"/>
        <v>104.46159636192567</v>
      </c>
    </row>
    <row r="128" spans="1:7" ht="31.5" customHeight="1" hidden="1">
      <c r="A128" s="502" t="s">
        <v>1707</v>
      </c>
      <c r="B128" s="503" t="s">
        <v>253</v>
      </c>
      <c r="C128" s="505">
        <v>0</v>
      </c>
      <c r="D128" s="496">
        <v>0</v>
      </c>
      <c r="E128" s="496">
        <v>0</v>
      </c>
      <c r="F128" s="497" t="e">
        <f t="shared" si="4"/>
        <v>#DIV/0!</v>
      </c>
      <c r="G128" s="498"/>
    </row>
    <row r="129" spans="1:7" ht="60">
      <c r="A129" s="502" t="s">
        <v>1341</v>
      </c>
      <c r="B129" s="503" t="s">
        <v>1511</v>
      </c>
      <c r="C129" s="505">
        <v>64035</v>
      </c>
      <c r="D129" s="505">
        <v>159425</v>
      </c>
      <c r="E129" s="522">
        <v>166537.9</v>
      </c>
      <c r="F129" s="497">
        <f t="shared" si="4"/>
        <v>260.0732411962208</v>
      </c>
      <c r="G129" s="498">
        <f t="shared" si="3"/>
        <v>104.46159636192567</v>
      </c>
    </row>
    <row r="130" spans="1:7" ht="36">
      <c r="A130" s="502" t="s">
        <v>61</v>
      </c>
      <c r="B130" s="503" t="s">
        <v>254</v>
      </c>
      <c r="C130" s="504">
        <f aca="true" t="shared" si="6" ref="C130:E131">C131</f>
        <v>66392</v>
      </c>
      <c r="D130" s="504">
        <f t="shared" si="6"/>
        <v>146910.6</v>
      </c>
      <c r="E130" s="504">
        <f t="shared" si="6"/>
        <v>148463</v>
      </c>
      <c r="F130" s="497">
        <f t="shared" si="4"/>
        <v>223.615797083986</v>
      </c>
      <c r="G130" s="498">
        <f t="shared" si="3"/>
        <v>101.05669706610686</v>
      </c>
    </row>
    <row r="131" spans="1:7" ht="24">
      <c r="A131" s="502" t="s">
        <v>62</v>
      </c>
      <c r="B131" s="503" t="s">
        <v>1452</v>
      </c>
      <c r="C131" s="504">
        <f t="shared" si="6"/>
        <v>66392</v>
      </c>
      <c r="D131" s="504">
        <f t="shared" si="6"/>
        <v>146910.6</v>
      </c>
      <c r="E131" s="504">
        <f t="shared" si="6"/>
        <v>148463</v>
      </c>
      <c r="F131" s="497">
        <f t="shared" si="4"/>
        <v>223.615797083986</v>
      </c>
      <c r="G131" s="498">
        <f t="shared" si="3"/>
        <v>101.05669706610686</v>
      </c>
    </row>
    <row r="132" spans="1:7" ht="36">
      <c r="A132" s="502" t="s">
        <v>510</v>
      </c>
      <c r="B132" s="503" t="s">
        <v>1057</v>
      </c>
      <c r="C132" s="505">
        <v>66392</v>
      </c>
      <c r="D132" s="505">
        <v>146910.6</v>
      </c>
      <c r="E132" s="505">
        <v>148463</v>
      </c>
      <c r="F132" s="497">
        <f t="shared" si="4"/>
        <v>223.615797083986</v>
      </c>
      <c r="G132" s="498">
        <f t="shared" si="3"/>
        <v>101.05669706610686</v>
      </c>
    </row>
    <row r="133" spans="1:7" ht="15">
      <c r="A133" s="502" t="s">
        <v>484</v>
      </c>
      <c r="B133" s="503" t="s">
        <v>483</v>
      </c>
      <c r="C133" s="504">
        <f>C134+C137+C139+C141+C165+C138+C145+C153+C154+C155+C159+C163+C164</f>
        <v>10950</v>
      </c>
      <c r="D133" s="504">
        <f>D134+D137+D139+D141+D165+D138+D145+D153+D154+D155+D159+D163+D164</f>
        <v>13700</v>
      </c>
      <c r="E133" s="504">
        <f>E134+E137+E139+E141+E165+E138+E145+E153+E154+E155+E159+E163+E164+E161</f>
        <v>22064</v>
      </c>
      <c r="F133" s="497">
        <f t="shared" si="4"/>
        <v>201.49771689497715</v>
      </c>
      <c r="G133" s="498">
        <f t="shared" si="3"/>
        <v>161.05109489051094</v>
      </c>
    </row>
    <row r="134" spans="1:7" ht="24">
      <c r="A134" s="502" t="s">
        <v>486</v>
      </c>
      <c r="B134" s="503" t="s">
        <v>485</v>
      </c>
      <c r="C134" s="504">
        <f>C135+C136</f>
        <v>1240</v>
      </c>
      <c r="D134" s="504">
        <f>D135+D136</f>
        <v>640</v>
      </c>
      <c r="E134" s="504">
        <f>E135+E136</f>
        <v>581.8</v>
      </c>
      <c r="F134" s="497">
        <f t="shared" si="4"/>
        <v>46.91935483870967</v>
      </c>
      <c r="G134" s="498">
        <f t="shared" si="3"/>
        <v>90.90624999999999</v>
      </c>
    </row>
    <row r="135" spans="1:7" ht="60">
      <c r="A135" s="502" t="s">
        <v>58</v>
      </c>
      <c r="B135" s="503" t="s">
        <v>255</v>
      </c>
      <c r="C135" s="505">
        <v>1070</v>
      </c>
      <c r="D135" s="505">
        <v>470</v>
      </c>
      <c r="E135" s="505">
        <v>494</v>
      </c>
      <c r="F135" s="497">
        <f t="shared" si="4"/>
        <v>46.16822429906542</v>
      </c>
      <c r="G135" s="498">
        <f t="shared" si="3"/>
        <v>105.10638297872342</v>
      </c>
    </row>
    <row r="136" spans="1:7" ht="36">
      <c r="A136" s="502" t="s">
        <v>1607</v>
      </c>
      <c r="B136" s="503" t="s">
        <v>1606</v>
      </c>
      <c r="C136" s="505">
        <v>170</v>
      </c>
      <c r="D136" s="505">
        <v>170</v>
      </c>
      <c r="E136" s="505">
        <v>87.8</v>
      </c>
      <c r="F136" s="497">
        <f t="shared" si="4"/>
        <v>51.64705882352941</v>
      </c>
      <c r="G136" s="498">
        <f t="shared" si="3"/>
        <v>51.64705882352941</v>
      </c>
    </row>
    <row r="137" spans="1:7" ht="36">
      <c r="A137" s="502" t="s">
        <v>1426</v>
      </c>
      <c r="B137" s="503" t="s">
        <v>1608</v>
      </c>
      <c r="C137" s="505">
        <v>2100</v>
      </c>
      <c r="D137" s="505">
        <v>900</v>
      </c>
      <c r="E137" s="505">
        <v>1007.6</v>
      </c>
      <c r="F137" s="497">
        <f t="shared" si="4"/>
        <v>47.98095238095238</v>
      </c>
      <c r="G137" s="498">
        <f t="shared" si="3"/>
        <v>111.95555555555556</v>
      </c>
    </row>
    <row r="138" spans="1:7" ht="36">
      <c r="A138" s="535" t="s">
        <v>580</v>
      </c>
      <c r="B138" s="503" t="s">
        <v>579</v>
      </c>
      <c r="C138" s="505">
        <v>1030</v>
      </c>
      <c r="D138" s="505">
        <f>D143+D144</f>
        <v>859</v>
      </c>
      <c r="E138" s="536">
        <f>E143+E144</f>
        <v>497.1</v>
      </c>
      <c r="F138" s="497">
        <f t="shared" si="4"/>
        <v>48.2621359223301</v>
      </c>
      <c r="G138" s="498">
        <f t="shared" si="3"/>
        <v>57.869615832363216</v>
      </c>
    </row>
    <row r="139" spans="1:7" ht="13.5" hidden="1">
      <c r="A139" s="535" t="s">
        <v>256</v>
      </c>
      <c r="B139" s="503" t="s">
        <v>1427</v>
      </c>
      <c r="C139" s="504">
        <f>SUM(C140)</f>
        <v>0</v>
      </c>
      <c r="D139" s="504">
        <f>SUM(D140)</f>
        <v>0</v>
      </c>
      <c r="E139" s="504">
        <f>SUM(E140)</f>
        <v>0</v>
      </c>
      <c r="F139" s="497"/>
      <c r="G139" s="498"/>
    </row>
    <row r="140" spans="1:7" ht="24" hidden="1">
      <c r="A140" s="535" t="s">
        <v>257</v>
      </c>
      <c r="B140" s="503" t="s">
        <v>1732</v>
      </c>
      <c r="C140" s="505"/>
      <c r="D140" s="519"/>
      <c r="E140" s="537"/>
      <c r="F140" s="497"/>
      <c r="G140" s="498"/>
    </row>
    <row r="141" spans="1:7" ht="24" hidden="1">
      <c r="A141" s="502" t="s">
        <v>258</v>
      </c>
      <c r="B141" s="503" t="s">
        <v>259</v>
      </c>
      <c r="C141" s="504">
        <f>C142</f>
        <v>0</v>
      </c>
      <c r="D141" s="504">
        <f>D142</f>
        <v>0</v>
      </c>
      <c r="E141" s="504">
        <f>E142</f>
        <v>0</v>
      </c>
      <c r="F141" s="497"/>
      <c r="G141" s="498"/>
    </row>
    <row r="142" spans="1:7" ht="36" hidden="1">
      <c r="A142" s="502" t="s">
        <v>260</v>
      </c>
      <c r="B142" s="503" t="s">
        <v>261</v>
      </c>
      <c r="C142" s="505">
        <v>0</v>
      </c>
      <c r="D142" s="496">
        <v>0</v>
      </c>
      <c r="E142" s="519"/>
      <c r="F142" s="497"/>
      <c r="G142" s="498"/>
    </row>
    <row r="143" spans="1:7" ht="51">
      <c r="A143" s="535" t="s">
        <v>256</v>
      </c>
      <c r="B143" s="27" t="s">
        <v>262</v>
      </c>
      <c r="C143" s="505">
        <v>1030</v>
      </c>
      <c r="D143" s="496">
        <v>859</v>
      </c>
      <c r="E143" s="496">
        <v>496.5</v>
      </c>
      <c r="F143" s="497">
        <f t="shared" si="4"/>
        <v>48.20388349514563</v>
      </c>
      <c r="G143" s="498">
        <f t="shared" si="3"/>
        <v>57.799767171129226</v>
      </c>
    </row>
    <row r="144" spans="1:7" ht="38.25">
      <c r="A144" s="535" t="s">
        <v>257</v>
      </c>
      <c r="B144" s="27" t="s">
        <v>263</v>
      </c>
      <c r="C144" s="505">
        <v>0</v>
      </c>
      <c r="D144" s="496">
        <v>0</v>
      </c>
      <c r="E144" s="496">
        <v>0.6</v>
      </c>
      <c r="F144" s="497">
        <v>0</v>
      </c>
      <c r="G144" s="498">
        <v>0</v>
      </c>
    </row>
    <row r="145" spans="1:7" ht="48">
      <c r="A145" s="502" t="s">
        <v>264</v>
      </c>
      <c r="B145" s="503" t="s">
        <v>265</v>
      </c>
      <c r="C145" s="504">
        <f>SUM(C148+C150+C151+C146+C147+C149)</f>
        <v>1500</v>
      </c>
      <c r="D145" s="504">
        <f>SUM(D148+D150+D151+D146+D147+D149)</f>
        <v>1900</v>
      </c>
      <c r="E145" s="504">
        <f>SUM(E148+E150+E151+E146+E147+E149)</f>
        <v>2029.6</v>
      </c>
      <c r="F145" s="497">
        <f t="shared" si="4"/>
        <v>135.30666666666667</v>
      </c>
      <c r="G145" s="498">
        <f t="shared" si="3"/>
        <v>106.82105263157895</v>
      </c>
    </row>
    <row r="146" spans="1:7" ht="15.75" customHeight="1">
      <c r="A146" s="502" t="s">
        <v>990</v>
      </c>
      <c r="B146" s="503" t="s">
        <v>266</v>
      </c>
      <c r="C146" s="505">
        <v>0</v>
      </c>
      <c r="D146" s="505">
        <v>300</v>
      </c>
      <c r="E146" s="505">
        <v>304</v>
      </c>
      <c r="F146" s="497">
        <v>0</v>
      </c>
      <c r="G146" s="498">
        <f t="shared" si="3"/>
        <v>101.33333333333334</v>
      </c>
    </row>
    <row r="147" spans="1:7" ht="15.75" customHeight="1" hidden="1">
      <c r="A147" s="502" t="s">
        <v>848</v>
      </c>
      <c r="B147" s="503" t="s">
        <v>267</v>
      </c>
      <c r="C147" s="505">
        <v>0</v>
      </c>
      <c r="D147" s="505"/>
      <c r="E147" s="505"/>
      <c r="F147" s="497" t="e">
        <f t="shared" si="4"/>
        <v>#DIV/0!</v>
      </c>
      <c r="G147" s="498" t="e">
        <f t="shared" si="3"/>
        <v>#DIV/0!</v>
      </c>
    </row>
    <row r="148" spans="1:7" ht="24" hidden="1">
      <c r="A148" s="502" t="s">
        <v>1611</v>
      </c>
      <c r="B148" s="503" t="s">
        <v>991</v>
      </c>
      <c r="C148" s="505">
        <v>0</v>
      </c>
      <c r="D148" s="496">
        <v>0</v>
      </c>
      <c r="E148" s="496"/>
      <c r="F148" s="497"/>
      <c r="G148" s="498"/>
    </row>
    <row r="149" spans="1:7" ht="24">
      <c r="A149" s="502" t="s">
        <v>905</v>
      </c>
      <c r="B149" s="503" t="s">
        <v>904</v>
      </c>
      <c r="C149" s="505">
        <v>1050</v>
      </c>
      <c r="D149" s="505">
        <v>850</v>
      </c>
      <c r="E149" s="505">
        <v>819.5</v>
      </c>
      <c r="F149" s="497">
        <f t="shared" si="4"/>
        <v>78.04761904761904</v>
      </c>
      <c r="G149" s="498">
        <f t="shared" si="3"/>
        <v>96.41176470588235</v>
      </c>
    </row>
    <row r="150" spans="1:7" ht="24">
      <c r="A150" s="502" t="s">
        <v>1612</v>
      </c>
      <c r="B150" s="503" t="s">
        <v>146</v>
      </c>
      <c r="C150" s="505">
        <v>450</v>
      </c>
      <c r="D150" s="505">
        <v>750</v>
      </c>
      <c r="E150" s="505">
        <v>906.1</v>
      </c>
      <c r="F150" s="497">
        <f t="shared" si="4"/>
        <v>201.35555555555555</v>
      </c>
      <c r="G150" s="498">
        <f t="shared" si="3"/>
        <v>120.81333333333333</v>
      </c>
    </row>
    <row r="151" spans="1:7" ht="31.5" customHeight="1" hidden="1">
      <c r="A151" s="502" t="s">
        <v>1613</v>
      </c>
      <c r="B151" s="503" t="s">
        <v>1610</v>
      </c>
      <c r="C151" s="504">
        <f>C152</f>
        <v>0</v>
      </c>
      <c r="D151" s="504">
        <f>D152</f>
        <v>0</v>
      </c>
      <c r="E151" s="504">
        <f>E152</f>
        <v>0</v>
      </c>
      <c r="F151" s="497" t="e">
        <f t="shared" si="4"/>
        <v>#DIV/0!</v>
      </c>
      <c r="G151" s="498" t="e">
        <f t="shared" si="3"/>
        <v>#DIV/0!</v>
      </c>
    </row>
    <row r="152" spans="1:7" ht="36" hidden="1">
      <c r="A152" s="502" t="s">
        <v>268</v>
      </c>
      <c r="B152" s="503" t="s">
        <v>269</v>
      </c>
      <c r="C152" s="505">
        <v>0</v>
      </c>
      <c r="D152" s="496">
        <v>0</v>
      </c>
      <c r="E152" s="496"/>
      <c r="F152" s="497"/>
      <c r="G152" s="498"/>
    </row>
    <row r="153" spans="1:7" ht="13.5" hidden="1">
      <c r="A153" s="502" t="s">
        <v>1615</v>
      </c>
      <c r="B153" s="503" t="s">
        <v>1614</v>
      </c>
      <c r="C153" s="505">
        <v>0</v>
      </c>
      <c r="D153" s="505">
        <v>0</v>
      </c>
      <c r="E153" s="496"/>
      <c r="F153" s="497"/>
      <c r="G153" s="498"/>
    </row>
    <row r="154" spans="1:7" ht="36">
      <c r="A154" s="502" t="s">
        <v>469</v>
      </c>
      <c r="B154" s="503" t="s">
        <v>468</v>
      </c>
      <c r="C154" s="505">
        <v>500</v>
      </c>
      <c r="D154" s="505">
        <v>0</v>
      </c>
      <c r="E154" s="505">
        <v>3</v>
      </c>
      <c r="F154" s="497">
        <f t="shared" si="4"/>
        <v>0.6</v>
      </c>
      <c r="G154" s="498">
        <v>0</v>
      </c>
    </row>
    <row r="155" spans="1:7" ht="24">
      <c r="A155" s="502" t="s">
        <v>683</v>
      </c>
      <c r="B155" s="503" t="s">
        <v>1276</v>
      </c>
      <c r="C155" s="504">
        <v>0</v>
      </c>
      <c r="D155" s="504">
        <f>D156+D158</f>
        <v>624.9</v>
      </c>
      <c r="E155" s="504">
        <f>E156+E158</f>
        <v>728.5</v>
      </c>
      <c r="F155" s="497">
        <v>0</v>
      </c>
      <c r="G155" s="498">
        <f t="shared" si="3"/>
        <v>116.5786525844135</v>
      </c>
    </row>
    <row r="156" spans="1:256" ht="36">
      <c r="A156" s="502" t="s">
        <v>270</v>
      </c>
      <c r="B156" s="503" t="s">
        <v>271</v>
      </c>
      <c r="C156" s="505">
        <v>0</v>
      </c>
      <c r="D156" s="504">
        <f>D157</f>
        <v>224.9</v>
      </c>
      <c r="E156" s="504">
        <f>E157</f>
        <v>234.7</v>
      </c>
      <c r="F156" s="497">
        <v>0</v>
      </c>
      <c r="G156" s="498">
        <f t="shared" si="3"/>
        <v>104.3574922187639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  <c r="IS156" s="58"/>
      <c r="IT156" s="58"/>
      <c r="IU156" s="58"/>
      <c r="IV156" s="58"/>
    </row>
    <row r="157" spans="1:256" ht="16.5" customHeight="1">
      <c r="A157" s="502" t="s">
        <v>1523</v>
      </c>
      <c r="B157" s="503" t="s">
        <v>1522</v>
      </c>
      <c r="C157" s="505">
        <v>0</v>
      </c>
      <c r="D157" s="505">
        <v>224.9</v>
      </c>
      <c r="E157" s="505">
        <v>234.7</v>
      </c>
      <c r="F157" s="497">
        <v>0</v>
      </c>
      <c r="G157" s="498">
        <f t="shared" si="3"/>
        <v>104.3574922187639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  <c r="IS157" s="58"/>
      <c r="IT157" s="58"/>
      <c r="IU157" s="58"/>
      <c r="IV157" s="58"/>
    </row>
    <row r="158" spans="1:256" ht="24">
      <c r="A158" s="502" t="s">
        <v>1525</v>
      </c>
      <c r="B158" s="503" t="s">
        <v>1524</v>
      </c>
      <c r="C158" s="505">
        <v>0</v>
      </c>
      <c r="D158" s="505">
        <v>400</v>
      </c>
      <c r="E158" s="505">
        <v>493.8</v>
      </c>
      <c r="F158" s="497">
        <v>0</v>
      </c>
      <c r="G158" s="498">
        <f t="shared" si="3"/>
        <v>123.44999999999999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  <c r="IS158" s="58"/>
      <c r="IT158" s="58"/>
      <c r="IU158" s="58"/>
      <c r="IV158" s="58"/>
    </row>
    <row r="159" spans="1:256" ht="36">
      <c r="A159" s="502" t="s">
        <v>471</v>
      </c>
      <c r="B159" s="503" t="s">
        <v>470</v>
      </c>
      <c r="C159" s="505">
        <f>C160</f>
        <v>0</v>
      </c>
      <c r="D159" s="505">
        <f>D160</f>
        <v>75.1</v>
      </c>
      <c r="E159" s="505">
        <f>E160</f>
        <v>75.1</v>
      </c>
      <c r="F159" s="497">
        <v>0</v>
      </c>
      <c r="G159" s="498">
        <f t="shared" si="3"/>
        <v>100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  <c r="IP159" s="58"/>
      <c r="IQ159" s="58"/>
      <c r="IR159" s="58"/>
      <c r="IS159" s="58"/>
      <c r="IT159" s="58"/>
      <c r="IU159" s="58"/>
      <c r="IV159" s="58"/>
    </row>
    <row r="160" spans="1:256" ht="36">
      <c r="A160" s="502" t="s">
        <v>638</v>
      </c>
      <c r="B160" s="503" t="s">
        <v>70</v>
      </c>
      <c r="C160" s="505">
        <v>0</v>
      </c>
      <c r="D160" s="505">
        <v>75.1</v>
      </c>
      <c r="E160" s="505">
        <v>75.1</v>
      </c>
      <c r="F160" s="497">
        <v>0</v>
      </c>
      <c r="G160" s="498">
        <f>E160/D160*100</f>
        <v>100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  <c r="IS160" s="58"/>
      <c r="IT160" s="58"/>
      <c r="IU160" s="58"/>
      <c r="IV160" s="58"/>
    </row>
    <row r="161" spans="1:256" ht="25.5">
      <c r="A161" s="535" t="s">
        <v>272</v>
      </c>
      <c r="B161" s="27" t="s">
        <v>273</v>
      </c>
      <c r="C161" s="505">
        <v>0</v>
      </c>
      <c r="D161" s="505">
        <v>0</v>
      </c>
      <c r="E161" s="536">
        <f>E162</f>
        <v>7200</v>
      </c>
      <c r="F161" s="497">
        <v>0</v>
      </c>
      <c r="G161" s="498">
        <v>0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  <c r="IT161" s="58"/>
      <c r="IU161" s="58"/>
      <c r="IV161" s="58"/>
    </row>
    <row r="162" spans="1:256" ht="25.5">
      <c r="A162" s="535" t="s">
        <v>274</v>
      </c>
      <c r="B162" s="538" t="s">
        <v>275</v>
      </c>
      <c r="C162" s="505">
        <v>0</v>
      </c>
      <c r="D162" s="505">
        <v>0</v>
      </c>
      <c r="E162" s="505">
        <v>7200</v>
      </c>
      <c r="F162" s="497">
        <v>0</v>
      </c>
      <c r="G162" s="498">
        <v>0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</row>
    <row r="163" spans="1:256" ht="48">
      <c r="A163" s="502" t="s">
        <v>1230</v>
      </c>
      <c r="B163" s="503" t="s">
        <v>1229</v>
      </c>
      <c r="C163" s="505">
        <v>1730</v>
      </c>
      <c r="D163" s="505">
        <v>1730</v>
      </c>
      <c r="E163" s="505">
        <v>1955.8</v>
      </c>
      <c r="F163" s="497">
        <f>E163/C163*100</f>
        <v>113.0520231213873</v>
      </c>
      <c r="G163" s="498">
        <f aca="true" t="shared" si="7" ref="G163:G224">E163/D163*100</f>
        <v>113.0520231213873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  <c r="IT163" s="58"/>
      <c r="IU163" s="58"/>
      <c r="IV163" s="58"/>
    </row>
    <row r="164" spans="1:256" ht="36">
      <c r="A164" s="502" t="s">
        <v>1231</v>
      </c>
      <c r="B164" s="503" t="s">
        <v>276</v>
      </c>
      <c r="C164" s="505">
        <v>250</v>
      </c>
      <c r="D164" s="505">
        <v>171</v>
      </c>
      <c r="E164" s="505">
        <v>72</v>
      </c>
      <c r="F164" s="497">
        <f>E164/C164*100</f>
        <v>28.799999999999997</v>
      </c>
      <c r="G164" s="498">
        <f t="shared" si="7"/>
        <v>42.10526315789473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</row>
    <row r="165" spans="1:256" ht="24">
      <c r="A165" s="502" t="s">
        <v>452</v>
      </c>
      <c r="B165" s="503" t="s">
        <v>451</v>
      </c>
      <c r="C165" s="504">
        <f>SUM(C166)</f>
        <v>2600</v>
      </c>
      <c r="D165" s="504">
        <f>SUM(D166)</f>
        <v>6800</v>
      </c>
      <c r="E165" s="504">
        <f>SUM(E166)</f>
        <v>7913.5</v>
      </c>
      <c r="F165" s="497">
        <f>E165/C165*100</f>
        <v>304.3653846153846</v>
      </c>
      <c r="G165" s="498">
        <f t="shared" si="7"/>
        <v>116.375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</row>
    <row r="166" spans="1:7" ht="24">
      <c r="A166" s="502" t="s">
        <v>765</v>
      </c>
      <c r="B166" s="503" t="s">
        <v>277</v>
      </c>
      <c r="C166" s="505">
        <v>2600</v>
      </c>
      <c r="D166" s="505">
        <v>6800</v>
      </c>
      <c r="E166" s="505">
        <v>7913.5</v>
      </c>
      <c r="F166" s="497">
        <f>E166/C166*100</f>
        <v>304.3653846153846</v>
      </c>
      <c r="G166" s="498">
        <f t="shared" si="7"/>
        <v>116.375</v>
      </c>
    </row>
    <row r="167" spans="1:7" ht="13.5">
      <c r="A167" s="502" t="s">
        <v>767</v>
      </c>
      <c r="B167" s="503" t="s">
        <v>766</v>
      </c>
      <c r="C167" s="504">
        <f>C168+C170</f>
        <v>3900</v>
      </c>
      <c r="D167" s="504">
        <f>D168+D170</f>
        <v>4300</v>
      </c>
      <c r="E167" s="504">
        <f>E168+E170</f>
        <v>21454</v>
      </c>
      <c r="F167" s="497">
        <f>E167/C167*100</f>
        <v>550.1025641025641</v>
      </c>
      <c r="G167" s="498">
        <f t="shared" si="7"/>
        <v>498.9302325581395</v>
      </c>
    </row>
    <row r="168" spans="1:7" ht="13.5">
      <c r="A168" s="502" t="s">
        <v>769</v>
      </c>
      <c r="B168" s="503" t="s">
        <v>768</v>
      </c>
      <c r="C168" s="505">
        <f>C169</f>
        <v>0</v>
      </c>
      <c r="D168" s="505">
        <f>D169</f>
        <v>0</v>
      </c>
      <c r="E168" s="504">
        <f>E169</f>
        <v>42.4</v>
      </c>
      <c r="F168" s="497">
        <v>0</v>
      </c>
      <c r="G168" s="498">
        <v>0</v>
      </c>
    </row>
    <row r="169" spans="1:7" ht="13.5">
      <c r="A169" s="502" t="s">
        <v>1336</v>
      </c>
      <c r="B169" s="503" t="s">
        <v>1638</v>
      </c>
      <c r="C169" s="505">
        <v>0</v>
      </c>
      <c r="D169" s="519">
        <v>0</v>
      </c>
      <c r="E169" s="505">
        <v>42.4</v>
      </c>
      <c r="F169" s="497">
        <v>0</v>
      </c>
      <c r="G169" s="498">
        <v>0</v>
      </c>
    </row>
    <row r="170" spans="1:7" ht="13.5">
      <c r="A170" s="502" t="s">
        <v>154</v>
      </c>
      <c r="B170" s="503" t="s">
        <v>153</v>
      </c>
      <c r="C170" s="504">
        <f>SUM(C171)</f>
        <v>3900</v>
      </c>
      <c r="D170" s="504">
        <f>SUM(D171)</f>
        <v>4300</v>
      </c>
      <c r="E170" s="504">
        <f>SUM(E171)</f>
        <v>21411.6</v>
      </c>
      <c r="F170" s="497">
        <f>E170/C170*100</f>
        <v>549.0153846153846</v>
      </c>
      <c r="G170" s="498">
        <f t="shared" si="7"/>
        <v>497.94418604651156</v>
      </c>
    </row>
    <row r="171" spans="1:7" ht="13.5">
      <c r="A171" s="502" t="s">
        <v>706</v>
      </c>
      <c r="B171" s="503" t="s">
        <v>705</v>
      </c>
      <c r="C171" s="505">
        <v>3900</v>
      </c>
      <c r="D171" s="505">
        <v>4300</v>
      </c>
      <c r="E171" s="505">
        <v>21411.6</v>
      </c>
      <c r="F171" s="497">
        <f>E171/C171*100</f>
        <v>549.0153846153846</v>
      </c>
      <c r="G171" s="498">
        <f t="shared" si="7"/>
        <v>497.94418604651156</v>
      </c>
    </row>
    <row r="172" spans="1:7" ht="13.5">
      <c r="A172" s="499" t="s">
        <v>474</v>
      </c>
      <c r="B172" s="518" t="s">
        <v>473</v>
      </c>
      <c r="C172" s="539">
        <f>C173+C239+C244</f>
        <v>1809652.7</v>
      </c>
      <c r="D172" s="539">
        <f>D173+D239+D244</f>
        <v>1871361.0000000002</v>
      </c>
      <c r="E172" s="539">
        <f>E173+E239+E244</f>
        <v>1798153.3000000003</v>
      </c>
      <c r="F172" s="497">
        <f>E172/C172*100</f>
        <v>99.36455210438999</v>
      </c>
      <c r="G172" s="498">
        <f t="shared" si="7"/>
        <v>96.08799691775131</v>
      </c>
    </row>
    <row r="173" spans="1:7" ht="13.5">
      <c r="A173" s="499" t="s">
        <v>1500</v>
      </c>
      <c r="B173" s="518" t="s">
        <v>278</v>
      </c>
      <c r="C173" s="540">
        <f>C174+C199+C228</f>
        <v>1809652.7</v>
      </c>
      <c r="D173" s="540">
        <f>D174+D199+D228</f>
        <v>1918004.8000000003</v>
      </c>
      <c r="E173" s="540">
        <f>E174+E199+E228</f>
        <v>1844796.9000000001</v>
      </c>
      <c r="F173" s="497">
        <f>E173/C173*100</f>
        <v>101.94204114413779</v>
      </c>
      <c r="G173" s="498">
        <f t="shared" si="7"/>
        <v>96.18312216945442</v>
      </c>
    </row>
    <row r="174" spans="1:7" ht="24">
      <c r="A174" s="502" t="s">
        <v>642</v>
      </c>
      <c r="B174" s="503" t="s">
        <v>279</v>
      </c>
      <c r="C174" s="540">
        <f>C197+C181+C185+C188+C177+C175+C183+C191+C179+C193</f>
        <v>26243</v>
      </c>
      <c r="D174" s="540">
        <f>D197+D181+D185+D188+D177+D175+D183+D191+D179+D195+D193</f>
        <v>83383.59999999999</v>
      </c>
      <c r="E174" s="540">
        <f>E197+E181+E185+E188+E177+E175+E183+E191+E179+E195+E193</f>
        <v>67111</v>
      </c>
      <c r="F174" s="497">
        <f>E174/C174*100</f>
        <v>255.7291468201044</v>
      </c>
      <c r="G174" s="498">
        <f t="shared" si="7"/>
        <v>80.48465165811983</v>
      </c>
    </row>
    <row r="175" spans="1:7" ht="13.5">
      <c r="A175" s="502" t="s">
        <v>1731</v>
      </c>
      <c r="B175" s="503" t="s">
        <v>1730</v>
      </c>
      <c r="C175" s="540">
        <f>C176</f>
        <v>0</v>
      </c>
      <c r="D175" s="540">
        <f>D176</f>
        <v>1704</v>
      </c>
      <c r="E175" s="540">
        <f>E176</f>
        <v>1703.1</v>
      </c>
      <c r="F175" s="540">
        <f>F176</f>
        <v>0</v>
      </c>
      <c r="G175" s="498">
        <f t="shared" si="7"/>
        <v>99.94718309859154</v>
      </c>
    </row>
    <row r="176" spans="1:7" ht="13.5">
      <c r="A176" s="502" t="s">
        <v>973</v>
      </c>
      <c r="B176" s="503" t="s">
        <v>1418</v>
      </c>
      <c r="C176" s="541">
        <v>0</v>
      </c>
      <c r="D176" s="541">
        <v>1704</v>
      </c>
      <c r="E176" s="505">
        <v>1703.1</v>
      </c>
      <c r="F176" s="497"/>
      <c r="G176" s="498">
        <f t="shared" si="7"/>
        <v>99.94718309859154</v>
      </c>
    </row>
    <row r="177" spans="1:7" ht="24">
      <c r="A177" s="502" t="s">
        <v>657</v>
      </c>
      <c r="B177" s="503" t="s">
        <v>656</v>
      </c>
      <c r="C177" s="540">
        <f>C178</f>
        <v>0</v>
      </c>
      <c r="D177" s="540">
        <f>D178</f>
        <v>1500</v>
      </c>
      <c r="E177" s="540">
        <f>E178</f>
        <v>1500</v>
      </c>
      <c r="F177" s="497">
        <v>0</v>
      </c>
      <c r="G177" s="498">
        <f t="shared" si="7"/>
        <v>100</v>
      </c>
    </row>
    <row r="178" spans="1:7" ht="24">
      <c r="A178" s="502" t="s">
        <v>974</v>
      </c>
      <c r="B178" s="503" t="s">
        <v>280</v>
      </c>
      <c r="C178" s="541">
        <v>0</v>
      </c>
      <c r="D178" s="541">
        <v>1500</v>
      </c>
      <c r="E178" s="541">
        <v>1500</v>
      </c>
      <c r="F178" s="497">
        <v>0</v>
      </c>
      <c r="G178" s="498">
        <f t="shared" si="7"/>
        <v>100</v>
      </c>
    </row>
    <row r="179" spans="1:7" ht="24" hidden="1">
      <c r="A179" s="502" t="s">
        <v>1419</v>
      </c>
      <c r="B179" s="503" t="s">
        <v>281</v>
      </c>
      <c r="C179" s="540">
        <f>C180</f>
        <v>0</v>
      </c>
      <c r="D179" s="540">
        <f>D180</f>
        <v>0</v>
      </c>
      <c r="E179" s="540">
        <f>E180</f>
        <v>0</v>
      </c>
      <c r="F179" s="497"/>
      <c r="G179" s="498"/>
    </row>
    <row r="180" spans="1:7" ht="31.5" customHeight="1" hidden="1">
      <c r="A180" s="502" t="s">
        <v>120</v>
      </c>
      <c r="B180" s="503" t="s">
        <v>282</v>
      </c>
      <c r="C180" s="541">
        <v>0</v>
      </c>
      <c r="D180" s="541">
        <v>0</v>
      </c>
      <c r="E180" s="542"/>
      <c r="F180" s="497"/>
      <c r="G180" s="498"/>
    </row>
    <row r="181" spans="1:7" ht="31.5" customHeight="1" hidden="1">
      <c r="A181" s="502" t="s">
        <v>817</v>
      </c>
      <c r="B181" s="503" t="s">
        <v>820</v>
      </c>
      <c r="C181" s="540">
        <f>C182</f>
        <v>0</v>
      </c>
      <c r="D181" s="540">
        <f>D182</f>
        <v>0</v>
      </c>
      <c r="E181" s="540">
        <f>E182</f>
        <v>0</v>
      </c>
      <c r="F181" s="497"/>
      <c r="G181" s="498"/>
    </row>
    <row r="182" spans="1:7" ht="31.5" customHeight="1" hidden="1">
      <c r="A182" s="502" t="s">
        <v>1371</v>
      </c>
      <c r="B182" s="503" t="s">
        <v>30</v>
      </c>
      <c r="C182" s="541">
        <v>0</v>
      </c>
      <c r="D182" s="541">
        <v>0</v>
      </c>
      <c r="E182" s="542"/>
      <c r="F182" s="497"/>
      <c r="G182" s="498"/>
    </row>
    <row r="183" spans="1:7" ht="31.5" customHeight="1" hidden="1">
      <c r="A183" s="502" t="s">
        <v>283</v>
      </c>
      <c r="B183" s="503" t="s">
        <v>284</v>
      </c>
      <c r="C183" s="540">
        <f>C184</f>
        <v>0</v>
      </c>
      <c r="D183" s="540">
        <f>D184</f>
        <v>0</v>
      </c>
      <c r="E183" s="542"/>
      <c r="F183" s="497"/>
      <c r="G183" s="498"/>
    </row>
    <row r="184" spans="1:7" ht="36" hidden="1">
      <c r="A184" s="502" t="s">
        <v>285</v>
      </c>
      <c r="B184" s="503" t="s">
        <v>286</v>
      </c>
      <c r="C184" s="541">
        <v>0</v>
      </c>
      <c r="D184" s="541">
        <v>0</v>
      </c>
      <c r="E184" s="542"/>
      <c r="F184" s="497"/>
      <c r="G184" s="498"/>
    </row>
    <row r="185" spans="1:7" ht="18.75" customHeight="1" hidden="1">
      <c r="A185" s="502" t="s">
        <v>570</v>
      </c>
      <c r="B185" s="543" t="s">
        <v>569</v>
      </c>
      <c r="C185" s="540">
        <f aca="true" t="shared" si="8" ref="C185:E186">C186</f>
        <v>0</v>
      </c>
      <c r="D185" s="540">
        <f t="shared" si="8"/>
        <v>0</v>
      </c>
      <c r="E185" s="540">
        <f t="shared" si="8"/>
        <v>0</v>
      </c>
      <c r="F185" s="497"/>
      <c r="G185" s="498"/>
    </row>
    <row r="186" spans="1:7" ht="36" hidden="1">
      <c r="A186" s="502" t="s">
        <v>785</v>
      </c>
      <c r="B186" s="543" t="s">
        <v>568</v>
      </c>
      <c r="C186" s="540">
        <f t="shared" si="8"/>
        <v>0</v>
      </c>
      <c r="D186" s="541">
        <v>0</v>
      </c>
      <c r="E186" s="540">
        <v>0</v>
      </c>
      <c r="F186" s="497"/>
      <c r="G186" s="498"/>
    </row>
    <row r="187" spans="1:7" ht="48" hidden="1">
      <c r="A187" s="502" t="s">
        <v>1291</v>
      </c>
      <c r="B187" s="503" t="s">
        <v>287</v>
      </c>
      <c r="C187" s="541">
        <v>0</v>
      </c>
      <c r="D187" s="541">
        <v>0</v>
      </c>
      <c r="E187" s="542"/>
      <c r="F187" s="497"/>
      <c r="G187" s="498"/>
    </row>
    <row r="188" spans="1:7" ht="36" hidden="1">
      <c r="A188" s="502" t="s">
        <v>1609</v>
      </c>
      <c r="B188" s="503" t="s">
        <v>288</v>
      </c>
      <c r="C188" s="540">
        <f aca="true" t="shared" si="9" ref="C188:E189">C189</f>
        <v>0</v>
      </c>
      <c r="D188" s="540">
        <f t="shared" si="9"/>
        <v>0</v>
      </c>
      <c r="E188" s="540">
        <f t="shared" si="9"/>
        <v>0</v>
      </c>
      <c r="F188" s="497"/>
      <c r="G188" s="498"/>
    </row>
    <row r="189" spans="1:7" ht="36" hidden="1">
      <c r="A189" s="502" t="s">
        <v>289</v>
      </c>
      <c r="B189" s="503" t="s">
        <v>290</v>
      </c>
      <c r="C189" s="540">
        <f t="shared" si="9"/>
        <v>0</v>
      </c>
      <c r="D189" s="540">
        <f t="shared" si="9"/>
        <v>0</v>
      </c>
      <c r="E189" s="540"/>
      <c r="F189" s="497"/>
      <c r="G189" s="498"/>
    </row>
    <row r="190" spans="1:7" ht="47.25" customHeight="1" hidden="1">
      <c r="A190" s="502" t="s">
        <v>983</v>
      </c>
      <c r="B190" s="503" t="s">
        <v>109</v>
      </c>
      <c r="C190" s="541">
        <v>0</v>
      </c>
      <c r="D190" s="541">
        <v>0</v>
      </c>
      <c r="E190" s="541"/>
      <c r="F190" s="497"/>
      <c r="G190" s="498" t="e">
        <f t="shared" si="7"/>
        <v>#DIV/0!</v>
      </c>
    </row>
    <row r="191" spans="1:256" ht="47.25" customHeight="1">
      <c r="A191" s="544" t="s">
        <v>572</v>
      </c>
      <c r="B191" s="507" t="s">
        <v>571</v>
      </c>
      <c r="C191" s="540">
        <f>C192</f>
        <v>0</v>
      </c>
      <c r="D191" s="540">
        <f>D192</f>
        <v>11021.4</v>
      </c>
      <c r="E191" s="541">
        <f>E192</f>
        <v>5491</v>
      </c>
      <c r="F191" s="497">
        <v>0</v>
      </c>
      <c r="G191" s="498">
        <f t="shared" si="7"/>
        <v>49.82125682762625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58"/>
      <c r="HQ191" s="58"/>
      <c r="HR191" s="58"/>
      <c r="HS191" s="58"/>
      <c r="HT191" s="58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8"/>
      <c r="IP191" s="58"/>
      <c r="IQ191" s="58"/>
      <c r="IR191" s="58"/>
      <c r="IS191" s="58"/>
      <c r="IT191" s="58"/>
      <c r="IU191" s="58"/>
      <c r="IV191" s="58"/>
    </row>
    <row r="192" spans="1:256" ht="36">
      <c r="A192" s="545" t="s">
        <v>59</v>
      </c>
      <c r="B192" s="546" t="s">
        <v>784</v>
      </c>
      <c r="C192" s="541">
        <v>0</v>
      </c>
      <c r="D192" s="541">
        <v>11021.4</v>
      </c>
      <c r="E192" s="541">
        <v>5491</v>
      </c>
      <c r="F192" s="497">
        <v>0</v>
      </c>
      <c r="G192" s="498">
        <f t="shared" si="7"/>
        <v>49.82125682762625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  <c r="IP192" s="58"/>
      <c r="IQ192" s="58"/>
      <c r="IR192" s="58"/>
      <c r="IS192" s="58"/>
      <c r="IT192" s="58"/>
      <c r="IU192" s="58"/>
      <c r="IV192" s="58"/>
    </row>
    <row r="193" spans="1:256" ht="36">
      <c r="A193" s="115" t="s">
        <v>1269</v>
      </c>
      <c r="B193" s="546" t="s">
        <v>291</v>
      </c>
      <c r="C193" s="541">
        <f>C194</f>
        <v>7680</v>
      </c>
      <c r="D193" s="541">
        <f aca="true" t="shared" si="10" ref="D193:F194">D194</f>
        <v>0</v>
      </c>
      <c r="E193" s="541">
        <v>0</v>
      </c>
      <c r="F193" s="541">
        <f t="shared" si="10"/>
        <v>0</v>
      </c>
      <c r="G193" s="498">
        <v>0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8"/>
      <c r="GH193" s="58"/>
      <c r="GI193" s="58"/>
      <c r="GJ193" s="58"/>
      <c r="GK193" s="58"/>
      <c r="GL193" s="58"/>
      <c r="GM193" s="58"/>
      <c r="GN193" s="58"/>
      <c r="GO193" s="58"/>
      <c r="GP193" s="58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  <c r="HH193" s="58"/>
      <c r="HI193" s="58"/>
      <c r="HJ193" s="58"/>
      <c r="HK193" s="58"/>
      <c r="HL193" s="58"/>
      <c r="HM193" s="58"/>
      <c r="HN193" s="58"/>
      <c r="HO193" s="58"/>
      <c r="HP193" s="58"/>
      <c r="HQ193" s="58"/>
      <c r="HR193" s="58"/>
      <c r="HS193" s="58"/>
      <c r="HT193" s="58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  <c r="IN193" s="58"/>
      <c r="IO193" s="58"/>
      <c r="IP193" s="58"/>
      <c r="IQ193" s="58"/>
      <c r="IR193" s="58"/>
      <c r="IS193" s="58"/>
      <c r="IT193" s="58"/>
      <c r="IU193" s="58"/>
      <c r="IV193" s="58"/>
    </row>
    <row r="194" spans="1:256" ht="36">
      <c r="A194" s="115" t="s">
        <v>1268</v>
      </c>
      <c r="B194" s="546" t="s">
        <v>292</v>
      </c>
      <c r="C194" s="541">
        <v>7680</v>
      </c>
      <c r="D194" s="541">
        <v>0</v>
      </c>
      <c r="E194" s="541">
        <v>0</v>
      </c>
      <c r="F194" s="541">
        <f t="shared" si="10"/>
        <v>0</v>
      </c>
      <c r="G194" s="498">
        <v>0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8"/>
      <c r="IP194" s="58"/>
      <c r="IQ194" s="58"/>
      <c r="IR194" s="58"/>
      <c r="IS194" s="58"/>
      <c r="IT194" s="58"/>
      <c r="IU194" s="58"/>
      <c r="IV194" s="58"/>
    </row>
    <row r="195" spans="1:256" ht="78.75">
      <c r="A195" s="535" t="s">
        <v>658</v>
      </c>
      <c r="B195" s="27" t="s">
        <v>293</v>
      </c>
      <c r="C195" s="541">
        <v>0</v>
      </c>
      <c r="D195" s="541">
        <f>D196</f>
        <v>7449</v>
      </c>
      <c r="E195" s="541">
        <f>E196</f>
        <v>7448.9</v>
      </c>
      <c r="F195" s="497">
        <v>0</v>
      </c>
      <c r="G195" s="498">
        <f t="shared" si="7"/>
        <v>99.99865753792456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  <c r="FV195" s="58"/>
      <c r="FW195" s="58"/>
      <c r="FX195" s="58"/>
      <c r="FY195" s="58"/>
      <c r="FZ195" s="58"/>
      <c r="GA195" s="58"/>
      <c r="GB195" s="58"/>
      <c r="GC195" s="58"/>
      <c r="GD195" s="58"/>
      <c r="GE195" s="58"/>
      <c r="GF195" s="58"/>
      <c r="GG195" s="58"/>
      <c r="GH195" s="58"/>
      <c r="GI195" s="58"/>
      <c r="GJ195" s="58"/>
      <c r="GK195" s="58"/>
      <c r="GL195" s="58"/>
      <c r="GM195" s="58"/>
      <c r="GN195" s="58"/>
      <c r="GO195" s="58"/>
      <c r="GP195" s="58"/>
      <c r="GQ195" s="58"/>
      <c r="GR195" s="58"/>
      <c r="GS195" s="58"/>
      <c r="GT195" s="58"/>
      <c r="GU195" s="58"/>
      <c r="GV195" s="58"/>
      <c r="GW195" s="58"/>
      <c r="GX195" s="58"/>
      <c r="GY195" s="58"/>
      <c r="GZ195" s="58"/>
      <c r="HA195" s="58"/>
      <c r="HB195" s="58"/>
      <c r="HC195" s="58"/>
      <c r="HD195" s="58"/>
      <c r="HE195" s="58"/>
      <c r="HF195" s="58"/>
      <c r="HG195" s="58"/>
      <c r="HH195" s="58"/>
      <c r="HI195" s="58"/>
      <c r="HJ195" s="58"/>
      <c r="HK195" s="58"/>
      <c r="HL195" s="58"/>
      <c r="HM195" s="58"/>
      <c r="HN195" s="58"/>
      <c r="HO195" s="58"/>
      <c r="HP195" s="58"/>
      <c r="HQ195" s="58"/>
      <c r="HR195" s="58"/>
      <c r="HS195" s="58"/>
      <c r="HT195" s="58"/>
      <c r="HU195" s="58"/>
      <c r="HV195" s="58"/>
      <c r="HW195" s="58"/>
      <c r="HX195" s="58"/>
      <c r="HY195" s="58"/>
      <c r="HZ195" s="58"/>
      <c r="IA195" s="58"/>
      <c r="IB195" s="58"/>
      <c r="IC195" s="58"/>
      <c r="ID195" s="58"/>
      <c r="IE195" s="58"/>
      <c r="IF195" s="58"/>
      <c r="IG195" s="58"/>
      <c r="IH195" s="58"/>
      <c r="II195" s="58"/>
      <c r="IJ195" s="58"/>
      <c r="IK195" s="58"/>
      <c r="IL195" s="58"/>
      <c r="IM195" s="58"/>
      <c r="IN195" s="58"/>
      <c r="IO195" s="58"/>
      <c r="IP195" s="58"/>
      <c r="IQ195" s="58"/>
      <c r="IR195" s="58"/>
      <c r="IS195" s="58"/>
      <c r="IT195" s="58"/>
      <c r="IU195" s="58"/>
      <c r="IV195" s="58"/>
    </row>
    <row r="196" spans="1:256" ht="78.75">
      <c r="A196" s="535" t="s">
        <v>1071</v>
      </c>
      <c r="B196" s="27" t="s">
        <v>1072</v>
      </c>
      <c r="C196" s="541">
        <v>0</v>
      </c>
      <c r="D196" s="541">
        <v>7449</v>
      </c>
      <c r="E196" s="541">
        <v>7448.9</v>
      </c>
      <c r="F196" s="497">
        <v>0</v>
      </c>
      <c r="G196" s="498">
        <f t="shared" si="7"/>
        <v>99.99865753792456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  <c r="GA196" s="58"/>
      <c r="GB196" s="58"/>
      <c r="GC196" s="58"/>
      <c r="GD196" s="58"/>
      <c r="GE196" s="58"/>
      <c r="GF196" s="58"/>
      <c r="GG196" s="58"/>
      <c r="GH196" s="58"/>
      <c r="GI196" s="58"/>
      <c r="GJ196" s="58"/>
      <c r="GK196" s="58"/>
      <c r="GL196" s="58"/>
      <c r="GM196" s="58"/>
      <c r="GN196" s="58"/>
      <c r="GO196" s="58"/>
      <c r="GP196" s="58"/>
      <c r="GQ196" s="58"/>
      <c r="GR196" s="58"/>
      <c r="GS196" s="58"/>
      <c r="GT196" s="58"/>
      <c r="GU196" s="58"/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  <c r="HH196" s="58"/>
      <c r="HI196" s="58"/>
      <c r="HJ196" s="58"/>
      <c r="HK196" s="58"/>
      <c r="HL196" s="58"/>
      <c r="HM196" s="58"/>
      <c r="HN196" s="58"/>
      <c r="HO196" s="58"/>
      <c r="HP196" s="58"/>
      <c r="HQ196" s="58"/>
      <c r="HR196" s="58"/>
      <c r="HS196" s="58"/>
      <c r="HT196" s="58"/>
      <c r="HU196" s="58"/>
      <c r="HV196" s="58"/>
      <c r="HW196" s="58"/>
      <c r="HX196" s="58"/>
      <c r="HY196" s="58"/>
      <c r="HZ196" s="58"/>
      <c r="IA196" s="58"/>
      <c r="IB196" s="58"/>
      <c r="IC196" s="58"/>
      <c r="ID196" s="58"/>
      <c r="IE196" s="58"/>
      <c r="IF196" s="58"/>
      <c r="IG196" s="58"/>
      <c r="IH196" s="58"/>
      <c r="II196" s="58"/>
      <c r="IJ196" s="58"/>
      <c r="IK196" s="58"/>
      <c r="IL196" s="58"/>
      <c r="IM196" s="58"/>
      <c r="IN196" s="58"/>
      <c r="IO196" s="58"/>
      <c r="IP196" s="58"/>
      <c r="IQ196" s="58"/>
      <c r="IR196" s="58"/>
      <c r="IS196" s="58"/>
      <c r="IT196" s="58"/>
      <c r="IU196" s="58"/>
      <c r="IV196" s="58"/>
    </row>
    <row r="197" spans="1:7" ht="13.5">
      <c r="A197" s="502" t="s">
        <v>644</v>
      </c>
      <c r="B197" s="503" t="s">
        <v>643</v>
      </c>
      <c r="C197" s="540">
        <f>C198</f>
        <v>18563</v>
      </c>
      <c r="D197" s="540">
        <f>D198</f>
        <v>61709.2</v>
      </c>
      <c r="E197" s="540">
        <f>E198</f>
        <v>50968</v>
      </c>
      <c r="F197" s="497">
        <f>E197/C197*100</f>
        <v>274.5676884124333</v>
      </c>
      <c r="G197" s="498">
        <f t="shared" si="7"/>
        <v>82.59384338153792</v>
      </c>
    </row>
    <row r="198" spans="1:7" ht="31.5" customHeight="1">
      <c r="A198" s="502" t="s">
        <v>1056</v>
      </c>
      <c r="B198" s="503" t="s">
        <v>1055</v>
      </c>
      <c r="C198" s="505">
        <v>18563</v>
      </c>
      <c r="D198" s="505">
        <v>61709.2</v>
      </c>
      <c r="E198" s="541">
        <v>50968</v>
      </c>
      <c r="F198" s="497">
        <f>E198/C198*100</f>
        <v>274.5676884124333</v>
      </c>
      <c r="G198" s="498">
        <f t="shared" si="7"/>
        <v>82.59384338153792</v>
      </c>
    </row>
    <row r="199" spans="1:7" ht="31.5" customHeight="1">
      <c r="A199" s="502" t="s">
        <v>557</v>
      </c>
      <c r="B199" s="503" t="s">
        <v>1516</v>
      </c>
      <c r="C199" s="540">
        <f>C204+C206+C208+C210+C212+C214+C226+C200+C216+C218+C202+C220+C222+C224</f>
        <v>1783409.7</v>
      </c>
      <c r="D199" s="540">
        <f>D204+D206+D208+D210+D212+D214+D226+D200+D216+D218+D202+D220+D222+D224</f>
        <v>1821872.1</v>
      </c>
      <c r="E199" s="540">
        <f>E204+E206+E208+E210+E212+E214+E226+E200+E216+E218+E202+E220+E222+E224</f>
        <v>1766294.9000000001</v>
      </c>
      <c r="F199" s="497">
        <f>E199/C199*100</f>
        <v>99.04033268407143</v>
      </c>
      <c r="G199" s="498">
        <f t="shared" si="7"/>
        <v>96.94944557304545</v>
      </c>
    </row>
    <row r="200" spans="1:7" ht="15.75" customHeight="1" hidden="1">
      <c r="A200" s="502" t="s">
        <v>103</v>
      </c>
      <c r="B200" s="503" t="s">
        <v>102</v>
      </c>
      <c r="C200" s="540">
        <f>C201</f>
        <v>0</v>
      </c>
      <c r="D200" s="540">
        <f>D201</f>
        <v>0</v>
      </c>
      <c r="E200" s="540">
        <f>E201</f>
        <v>0</v>
      </c>
      <c r="F200" s="497" t="e">
        <f>E200/C200*100</f>
        <v>#DIV/0!</v>
      </c>
      <c r="G200" s="498" t="e">
        <f t="shared" si="7"/>
        <v>#DIV/0!</v>
      </c>
    </row>
    <row r="201" spans="1:7" ht="15.75" customHeight="1" hidden="1">
      <c r="A201" s="502" t="s">
        <v>1277</v>
      </c>
      <c r="B201" s="503" t="s">
        <v>1220</v>
      </c>
      <c r="C201" s="541">
        <v>0</v>
      </c>
      <c r="D201" s="541">
        <v>0</v>
      </c>
      <c r="E201" s="541">
        <v>0</v>
      </c>
      <c r="F201" s="497" t="e">
        <f>E201/C201*100</f>
        <v>#DIV/0!</v>
      </c>
      <c r="G201" s="498" t="e">
        <f t="shared" si="7"/>
        <v>#DIV/0!</v>
      </c>
    </row>
    <row r="202" spans="1:256" ht="24" hidden="1">
      <c r="A202" s="502" t="s">
        <v>78</v>
      </c>
      <c r="B202" s="503" t="s">
        <v>294</v>
      </c>
      <c r="C202" s="540">
        <f>C203</f>
        <v>0</v>
      </c>
      <c r="D202" s="540">
        <f>D203</f>
        <v>0</v>
      </c>
      <c r="E202" s="540">
        <f>E203</f>
        <v>0</v>
      </c>
      <c r="F202" s="497"/>
      <c r="G202" s="49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  <c r="GA202" s="58"/>
      <c r="GB202" s="58"/>
      <c r="GC202" s="58"/>
      <c r="GD202" s="58"/>
      <c r="GE202" s="58"/>
      <c r="GF202" s="58"/>
      <c r="GG202" s="58"/>
      <c r="GH202" s="58"/>
      <c r="GI202" s="58"/>
      <c r="GJ202" s="58"/>
      <c r="GK202" s="58"/>
      <c r="GL202" s="58"/>
      <c r="GM202" s="58"/>
      <c r="GN202" s="58"/>
      <c r="GO202" s="58"/>
      <c r="GP202" s="58"/>
      <c r="GQ202" s="58"/>
      <c r="GR202" s="58"/>
      <c r="GS202" s="58"/>
      <c r="GT202" s="58"/>
      <c r="GU202" s="58"/>
      <c r="GV202" s="58"/>
      <c r="GW202" s="58"/>
      <c r="GX202" s="58"/>
      <c r="GY202" s="58"/>
      <c r="GZ202" s="58"/>
      <c r="HA202" s="58"/>
      <c r="HB202" s="58"/>
      <c r="HC202" s="58"/>
      <c r="HD202" s="58"/>
      <c r="HE202" s="58"/>
      <c r="HF202" s="58"/>
      <c r="HG202" s="58"/>
      <c r="HH202" s="58"/>
      <c r="HI202" s="58"/>
      <c r="HJ202" s="58"/>
      <c r="HK202" s="58"/>
      <c r="HL202" s="58"/>
      <c r="HM202" s="58"/>
      <c r="HN202" s="58"/>
      <c r="HO202" s="58"/>
      <c r="HP202" s="58"/>
      <c r="HQ202" s="58"/>
      <c r="HR202" s="58"/>
      <c r="HS202" s="58"/>
      <c r="HT202" s="58"/>
      <c r="HU202" s="58"/>
      <c r="HV202" s="58"/>
      <c r="HW202" s="58"/>
      <c r="HX202" s="58"/>
      <c r="HY202" s="58"/>
      <c r="HZ202" s="58"/>
      <c r="IA202" s="58"/>
      <c r="IB202" s="58"/>
      <c r="IC202" s="58"/>
      <c r="ID202" s="58"/>
      <c r="IE202" s="58"/>
      <c r="IF202" s="58"/>
      <c r="IG202" s="58"/>
      <c r="IH202" s="58"/>
      <c r="II202" s="58"/>
      <c r="IJ202" s="58"/>
      <c r="IK202" s="58"/>
      <c r="IL202" s="58"/>
      <c r="IM202" s="58"/>
      <c r="IN202" s="58"/>
      <c r="IO202" s="58"/>
      <c r="IP202" s="58"/>
      <c r="IQ202" s="58"/>
      <c r="IR202" s="58"/>
      <c r="IS202" s="58"/>
      <c r="IT202" s="58"/>
      <c r="IU202" s="58"/>
      <c r="IV202" s="58"/>
    </row>
    <row r="203" spans="1:256" ht="36" hidden="1">
      <c r="A203" s="502" t="s">
        <v>919</v>
      </c>
      <c r="B203" s="503" t="s">
        <v>295</v>
      </c>
      <c r="C203" s="541">
        <v>0</v>
      </c>
      <c r="D203" s="541">
        <v>0</v>
      </c>
      <c r="E203" s="541"/>
      <c r="F203" s="497"/>
      <c r="G203" s="49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  <c r="GA203" s="58"/>
      <c r="GB203" s="58"/>
      <c r="GC203" s="58"/>
      <c r="GD203" s="58"/>
      <c r="GE203" s="58"/>
      <c r="GF203" s="58"/>
      <c r="GG203" s="58"/>
      <c r="GH203" s="58"/>
      <c r="GI203" s="58"/>
      <c r="GJ203" s="58"/>
      <c r="GK203" s="58"/>
      <c r="GL203" s="58"/>
      <c r="GM203" s="58"/>
      <c r="GN203" s="58"/>
      <c r="GO203" s="58"/>
      <c r="GP203" s="58"/>
      <c r="GQ203" s="58"/>
      <c r="GR203" s="58"/>
      <c r="GS203" s="58"/>
      <c r="GT203" s="58"/>
      <c r="GU203" s="58"/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  <c r="HH203" s="58"/>
      <c r="HI203" s="58"/>
      <c r="HJ203" s="58"/>
      <c r="HK203" s="58"/>
      <c r="HL203" s="58"/>
      <c r="HM203" s="58"/>
      <c r="HN203" s="58"/>
      <c r="HO203" s="58"/>
      <c r="HP203" s="58"/>
      <c r="HQ203" s="58"/>
      <c r="HR203" s="58"/>
      <c r="HS203" s="58"/>
      <c r="HT203" s="58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8"/>
      <c r="IM203" s="58"/>
      <c r="IN203" s="58"/>
      <c r="IO203" s="58"/>
      <c r="IP203" s="58"/>
      <c r="IQ203" s="58"/>
      <c r="IR203" s="58"/>
      <c r="IS203" s="58"/>
      <c r="IT203" s="58"/>
      <c r="IU203" s="58"/>
      <c r="IV203" s="58"/>
    </row>
    <row r="204" spans="1:7" ht="24">
      <c r="A204" s="502" t="s">
        <v>844</v>
      </c>
      <c r="B204" s="503" t="s">
        <v>843</v>
      </c>
      <c r="C204" s="540">
        <f>C205</f>
        <v>9839</v>
      </c>
      <c r="D204" s="540">
        <f>D205</f>
        <v>9839</v>
      </c>
      <c r="E204" s="540">
        <f>E205</f>
        <v>8199.3</v>
      </c>
      <c r="F204" s="497">
        <f aca="true" t="shared" si="11" ref="F204:F209">E204/C204*100</f>
        <v>83.33468848460208</v>
      </c>
      <c r="G204" s="498">
        <f t="shared" si="7"/>
        <v>83.33468848460208</v>
      </c>
    </row>
    <row r="205" spans="1:7" ht="24">
      <c r="A205" s="502" t="s">
        <v>76</v>
      </c>
      <c r="B205" s="503" t="s">
        <v>997</v>
      </c>
      <c r="C205" s="505">
        <v>9839</v>
      </c>
      <c r="D205" s="505">
        <v>9839</v>
      </c>
      <c r="E205" s="541">
        <v>8199.3</v>
      </c>
      <c r="F205" s="497">
        <f t="shared" si="11"/>
        <v>83.33468848460208</v>
      </c>
      <c r="G205" s="498">
        <f t="shared" si="7"/>
        <v>83.33468848460208</v>
      </c>
    </row>
    <row r="206" spans="1:256" ht="24">
      <c r="A206" s="502" t="s">
        <v>388</v>
      </c>
      <c r="B206" s="503" t="s">
        <v>998</v>
      </c>
      <c r="C206" s="540">
        <f>C207</f>
        <v>31208</v>
      </c>
      <c r="D206" s="540">
        <f>D207</f>
        <v>37959</v>
      </c>
      <c r="E206" s="540">
        <f>E207</f>
        <v>35324</v>
      </c>
      <c r="F206" s="497">
        <f t="shared" si="11"/>
        <v>113.18892591643169</v>
      </c>
      <c r="G206" s="498">
        <f t="shared" si="7"/>
        <v>93.05829974446112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8"/>
      <c r="GH206" s="58"/>
      <c r="GI206" s="58"/>
      <c r="GJ206" s="58"/>
      <c r="GK206" s="58"/>
      <c r="GL206" s="58"/>
      <c r="GM206" s="58"/>
      <c r="GN206" s="58"/>
      <c r="GO206" s="58"/>
      <c r="GP206" s="58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8"/>
      <c r="HL206" s="58"/>
      <c r="HM206" s="58"/>
      <c r="HN206" s="58"/>
      <c r="HO206" s="58"/>
      <c r="HP206" s="58"/>
      <c r="HQ206" s="58"/>
      <c r="HR206" s="58"/>
      <c r="HS206" s="58"/>
      <c r="HT206" s="58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  <c r="IN206" s="58"/>
      <c r="IO206" s="58"/>
      <c r="IP206" s="58"/>
      <c r="IQ206" s="58"/>
      <c r="IR206" s="58"/>
      <c r="IS206" s="58"/>
      <c r="IT206" s="58"/>
      <c r="IU206" s="58"/>
      <c r="IV206" s="58"/>
    </row>
    <row r="207" spans="1:256" ht="47.25" customHeight="1">
      <c r="A207" s="502" t="s">
        <v>1012</v>
      </c>
      <c r="B207" s="503" t="s">
        <v>778</v>
      </c>
      <c r="C207" s="505">
        <v>31208</v>
      </c>
      <c r="D207" s="505">
        <v>37959</v>
      </c>
      <c r="E207" s="505">
        <v>35324</v>
      </c>
      <c r="F207" s="497">
        <f t="shared" si="11"/>
        <v>113.18892591643169</v>
      </c>
      <c r="G207" s="498">
        <f t="shared" si="7"/>
        <v>93.05829974446112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58"/>
      <c r="EY207" s="58"/>
      <c r="EZ207" s="58"/>
      <c r="FA207" s="58"/>
      <c r="FB207" s="58"/>
      <c r="FC207" s="58"/>
      <c r="FD207" s="58"/>
      <c r="FE207" s="58"/>
      <c r="FF207" s="58"/>
      <c r="FG207" s="58"/>
      <c r="FH207" s="58"/>
      <c r="FI207" s="58"/>
      <c r="FJ207" s="58"/>
      <c r="FK207" s="58"/>
      <c r="FL207" s="58"/>
      <c r="FM207" s="58"/>
      <c r="FN207" s="58"/>
      <c r="FO207" s="58"/>
      <c r="FP207" s="58"/>
      <c r="FQ207" s="58"/>
      <c r="FR207" s="58"/>
      <c r="FS207" s="58"/>
      <c r="FT207" s="58"/>
      <c r="FU207" s="58"/>
      <c r="FV207" s="58"/>
      <c r="FW207" s="58"/>
      <c r="FX207" s="58"/>
      <c r="FY207" s="58"/>
      <c r="FZ207" s="58"/>
      <c r="GA207" s="58"/>
      <c r="GB207" s="58"/>
      <c r="GC207" s="58"/>
      <c r="GD207" s="58"/>
      <c r="GE207" s="58"/>
      <c r="GF207" s="58"/>
      <c r="GG207" s="58"/>
      <c r="GH207" s="58"/>
      <c r="GI207" s="58"/>
      <c r="GJ207" s="58"/>
      <c r="GK207" s="58"/>
      <c r="GL207" s="58"/>
      <c r="GM207" s="58"/>
      <c r="GN207" s="58"/>
      <c r="GO207" s="58"/>
      <c r="GP207" s="58"/>
      <c r="GQ207" s="58"/>
      <c r="GR207" s="58"/>
      <c r="GS207" s="58"/>
      <c r="GT207" s="58"/>
      <c r="GU207" s="58"/>
      <c r="GV207" s="58"/>
      <c r="GW207" s="58"/>
      <c r="GX207" s="58"/>
      <c r="GY207" s="58"/>
      <c r="GZ207" s="58"/>
      <c r="HA207" s="58"/>
      <c r="HB207" s="58"/>
      <c r="HC207" s="58"/>
      <c r="HD207" s="58"/>
      <c r="HE207" s="58"/>
      <c r="HF207" s="58"/>
      <c r="HG207" s="58"/>
      <c r="HH207" s="58"/>
      <c r="HI207" s="58"/>
      <c r="HJ207" s="58"/>
      <c r="HK207" s="58"/>
      <c r="HL207" s="58"/>
      <c r="HM207" s="58"/>
      <c r="HN207" s="58"/>
      <c r="HO207" s="58"/>
      <c r="HP207" s="58"/>
      <c r="HQ207" s="58"/>
      <c r="HR207" s="58"/>
      <c r="HS207" s="58"/>
      <c r="HT207" s="58"/>
      <c r="HU207" s="58"/>
      <c r="HV207" s="58"/>
      <c r="HW207" s="58"/>
      <c r="HX207" s="58"/>
      <c r="HY207" s="58"/>
      <c r="HZ207" s="58"/>
      <c r="IA207" s="58"/>
      <c r="IB207" s="58"/>
      <c r="IC207" s="58"/>
      <c r="ID207" s="58"/>
      <c r="IE207" s="58"/>
      <c r="IF207" s="58"/>
      <c r="IG207" s="58"/>
      <c r="IH207" s="58"/>
      <c r="II207" s="58"/>
      <c r="IJ207" s="58"/>
      <c r="IK207" s="58"/>
      <c r="IL207" s="58"/>
      <c r="IM207" s="58"/>
      <c r="IN207" s="58"/>
      <c r="IO207" s="58"/>
      <c r="IP207" s="58"/>
      <c r="IQ207" s="58"/>
      <c r="IR207" s="58"/>
      <c r="IS207" s="58"/>
      <c r="IT207" s="58"/>
      <c r="IU207" s="58"/>
      <c r="IV207" s="58"/>
    </row>
    <row r="208" spans="1:7" ht="47.25" customHeight="1">
      <c r="A208" s="502" t="s">
        <v>1420</v>
      </c>
      <c r="B208" s="503" t="s">
        <v>1512</v>
      </c>
      <c r="C208" s="540">
        <f>C209</f>
        <v>53357</v>
      </c>
      <c r="D208" s="540">
        <f>D209</f>
        <v>65623</v>
      </c>
      <c r="E208" s="540">
        <f>E209</f>
        <v>64289.1</v>
      </c>
      <c r="F208" s="497">
        <f t="shared" si="11"/>
        <v>120.48859568566448</v>
      </c>
      <c r="G208" s="498">
        <f t="shared" si="7"/>
        <v>97.96732852810752</v>
      </c>
    </row>
    <row r="209" spans="1:7" ht="24">
      <c r="A209" s="502" t="s">
        <v>60</v>
      </c>
      <c r="B209" s="503" t="s">
        <v>1421</v>
      </c>
      <c r="C209" s="505">
        <v>53357</v>
      </c>
      <c r="D209" s="505">
        <v>65623</v>
      </c>
      <c r="E209" s="505">
        <v>64289.1</v>
      </c>
      <c r="F209" s="497">
        <f t="shared" si="11"/>
        <v>120.48859568566448</v>
      </c>
      <c r="G209" s="498">
        <f t="shared" si="7"/>
        <v>97.96732852810752</v>
      </c>
    </row>
    <row r="210" spans="1:7" ht="48" hidden="1">
      <c r="A210" s="502" t="s">
        <v>1715</v>
      </c>
      <c r="B210" s="503" t="s">
        <v>1714</v>
      </c>
      <c r="C210" s="540">
        <f>C211</f>
        <v>0</v>
      </c>
      <c r="D210" s="540">
        <f>D211</f>
        <v>0</v>
      </c>
      <c r="E210" s="540">
        <f>E211</f>
        <v>0</v>
      </c>
      <c r="F210" s="497"/>
      <c r="G210" s="498"/>
    </row>
    <row r="211" spans="1:7" ht="48" hidden="1">
      <c r="A211" s="502" t="s">
        <v>1509</v>
      </c>
      <c r="B211" s="503" t="s">
        <v>429</v>
      </c>
      <c r="C211" s="541">
        <v>0</v>
      </c>
      <c r="D211" s="541">
        <v>0</v>
      </c>
      <c r="E211" s="541"/>
      <c r="F211" s="497"/>
      <c r="G211" s="498"/>
    </row>
    <row r="212" spans="1:7" ht="48">
      <c r="A212" s="502" t="s">
        <v>1219</v>
      </c>
      <c r="B212" s="503" t="s">
        <v>296</v>
      </c>
      <c r="C212" s="540">
        <f>C213</f>
        <v>54304</v>
      </c>
      <c r="D212" s="540">
        <f>D213</f>
        <v>49571</v>
      </c>
      <c r="E212" s="540">
        <f>E213</f>
        <v>33342.1</v>
      </c>
      <c r="F212" s="497">
        <f>E212/C212*100</f>
        <v>61.39897613435474</v>
      </c>
      <c r="G212" s="498">
        <f t="shared" si="7"/>
        <v>67.26130197091041</v>
      </c>
    </row>
    <row r="213" spans="1:7" ht="48">
      <c r="A213" s="502" t="s">
        <v>637</v>
      </c>
      <c r="B213" s="503" t="s">
        <v>297</v>
      </c>
      <c r="C213" s="505">
        <v>54304</v>
      </c>
      <c r="D213" s="505">
        <v>49571</v>
      </c>
      <c r="E213" s="505">
        <v>33342.1</v>
      </c>
      <c r="F213" s="497">
        <f>E213/C213*100</f>
        <v>61.39897613435474</v>
      </c>
      <c r="G213" s="498">
        <f t="shared" si="7"/>
        <v>67.26130197091041</v>
      </c>
    </row>
    <row r="214" spans="1:7" ht="36" hidden="1">
      <c r="A214" s="502" t="s">
        <v>298</v>
      </c>
      <c r="B214" s="503" t="s">
        <v>299</v>
      </c>
      <c r="C214" s="540">
        <f>C215</f>
        <v>0</v>
      </c>
      <c r="D214" s="540">
        <f>D215</f>
        <v>0</v>
      </c>
      <c r="E214" s="540">
        <f>E215</f>
        <v>0</v>
      </c>
      <c r="F214" s="497"/>
      <c r="G214" s="498"/>
    </row>
    <row r="215" spans="1:7" ht="36" hidden="1">
      <c r="A215" s="502" t="s">
        <v>300</v>
      </c>
      <c r="B215" s="503" t="s">
        <v>301</v>
      </c>
      <c r="C215" s="541">
        <v>0</v>
      </c>
      <c r="D215" s="541">
        <v>0</v>
      </c>
      <c r="E215" s="541"/>
      <c r="F215" s="497"/>
      <c r="G215" s="498"/>
    </row>
    <row r="216" spans="1:7" ht="60" hidden="1">
      <c r="A216" s="502" t="s">
        <v>438</v>
      </c>
      <c r="B216" s="503" t="s">
        <v>302</v>
      </c>
      <c r="C216" s="540">
        <f>C217</f>
        <v>0</v>
      </c>
      <c r="D216" s="540">
        <f>D217</f>
        <v>0</v>
      </c>
      <c r="E216" s="540">
        <f>E217</f>
        <v>0</v>
      </c>
      <c r="F216" s="497"/>
      <c r="G216" s="498"/>
    </row>
    <row r="217" spans="1:7" ht="60" hidden="1">
      <c r="A217" s="502" t="s">
        <v>1210</v>
      </c>
      <c r="B217" s="503" t="s">
        <v>303</v>
      </c>
      <c r="C217" s="541"/>
      <c r="D217" s="541">
        <v>0</v>
      </c>
      <c r="E217" s="541">
        <v>0</v>
      </c>
      <c r="F217" s="497"/>
      <c r="G217" s="498"/>
    </row>
    <row r="218" spans="1:7" ht="48">
      <c r="A218" s="502" t="s">
        <v>1062</v>
      </c>
      <c r="B218" s="503" t="s">
        <v>304</v>
      </c>
      <c r="C218" s="540">
        <f>C219</f>
        <v>2760.7</v>
      </c>
      <c r="D218" s="540">
        <f>D219</f>
        <v>1844.1</v>
      </c>
      <c r="E218" s="540">
        <f>E219</f>
        <v>1844.1</v>
      </c>
      <c r="F218" s="497">
        <f>E218/C218*100</f>
        <v>66.79827579961604</v>
      </c>
      <c r="G218" s="498">
        <f t="shared" si="7"/>
        <v>100</v>
      </c>
    </row>
    <row r="219" spans="1:7" ht="48">
      <c r="A219" s="502" t="s">
        <v>1275</v>
      </c>
      <c r="B219" s="503" t="s">
        <v>305</v>
      </c>
      <c r="C219" s="541">
        <v>2760.7</v>
      </c>
      <c r="D219" s="541">
        <v>1844.1</v>
      </c>
      <c r="E219" s="541">
        <v>1844.1</v>
      </c>
      <c r="F219" s="497">
        <f>E219/C219*100</f>
        <v>66.79827579961604</v>
      </c>
      <c r="G219" s="498">
        <f t="shared" si="7"/>
        <v>100</v>
      </c>
    </row>
    <row r="220" spans="1:7" ht="24" hidden="1">
      <c r="A220" s="502" t="s">
        <v>907</v>
      </c>
      <c r="B220" s="503" t="s">
        <v>306</v>
      </c>
      <c r="C220" s="540">
        <f>C221</f>
        <v>0</v>
      </c>
      <c r="D220" s="540">
        <f>D221</f>
        <v>0</v>
      </c>
      <c r="E220" s="540">
        <f>E221</f>
        <v>0</v>
      </c>
      <c r="F220" s="497"/>
      <c r="G220" s="498"/>
    </row>
    <row r="221" spans="1:7" ht="24" hidden="1">
      <c r="A221" s="502" t="s">
        <v>1675</v>
      </c>
      <c r="B221" s="503" t="s">
        <v>307</v>
      </c>
      <c r="C221" s="541">
        <v>0</v>
      </c>
      <c r="D221" s="541">
        <v>0</v>
      </c>
      <c r="E221" s="541"/>
      <c r="F221" s="497"/>
      <c r="G221" s="498"/>
    </row>
    <row r="222" spans="1:7" ht="13.5" hidden="1">
      <c r="A222" s="502" t="s">
        <v>909</v>
      </c>
      <c r="B222" s="503" t="s">
        <v>908</v>
      </c>
      <c r="C222" s="540">
        <f>C223</f>
        <v>0</v>
      </c>
      <c r="D222" s="540">
        <f>D223</f>
        <v>0</v>
      </c>
      <c r="E222" s="540">
        <f>E223</f>
        <v>0</v>
      </c>
      <c r="F222" s="497"/>
      <c r="G222" s="498"/>
    </row>
    <row r="223" spans="1:7" ht="24" hidden="1">
      <c r="A223" s="502" t="s">
        <v>1521</v>
      </c>
      <c r="B223" s="503" t="s">
        <v>1599</v>
      </c>
      <c r="C223" s="541">
        <v>0</v>
      </c>
      <c r="D223" s="541">
        <v>0</v>
      </c>
      <c r="E223" s="541">
        <v>0</v>
      </c>
      <c r="F223" s="497"/>
      <c r="G223" s="498"/>
    </row>
    <row r="224" spans="1:7" ht="36">
      <c r="A224" s="502" t="s">
        <v>499</v>
      </c>
      <c r="B224" s="503" t="s">
        <v>308</v>
      </c>
      <c r="C224" s="540">
        <f>C225</f>
        <v>81115</v>
      </c>
      <c r="D224" s="540">
        <f>D225</f>
        <v>73800</v>
      </c>
      <c r="E224" s="540">
        <f>E225</f>
        <v>73799.3</v>
      </c>
      <c r="F224" s="497">
        <f>E224/C224*100</f>
        <v>90.98107624976886</v>
      </c>
      <c r="G224" s="498">
        <f t="shared" si="7"/>
        <v>99.99905149051492</v>
      </c>
    </row>
    <row r="225" spans="1:7" ht="36">
      <c r="A225" s="502" t="s">
        <v>639</v>
      </c>
      <c r="B225" s="503" t="s">
        <v>309</v>
      </c>
      <c r="C225" s="541">
        <v>81115</v>
      </c>
      <c r="D225" s="541">
        <v>73800</v>
      </c>
      <c r="E225" s="541">
        <v>73799.3</v>
      </c>
      <c r="F225" s="497">
        <f>E225/C225*100</f>
        <v>90.98107624976886</v>
      </c>
      <c r="G225" s="498">
        <f aca="true" t="shared" si="12" ref="G225:G246">E225/D225*100</f>
        <v>99.99905149051492</v>
      </c>
    </row>
    <row r="226" spans="1:7" ht="13.5">
      <c r="A226" s="502" t="s">
        <v>1410</v>
      </c>
      <c r="B226" s="506" t="s">
        <v>155</v>
      </c>
      <c r="C226" s="540">
        <f>C227</f>
        <v>1550826</v>
      </c>
      <c r="D226" s="540">
        <f>D227</f>
        <v>1583236</v>
      </c>
      <c r="E226" s="540">
        <f>E227</f>
        <v>1549497</v>
      </c>
      <c r="F226" s="497">
        <f>E226/C226*100</f>
        <v>99.91430373233361</v>
      </c>
      <c r="G226" s="498">
        <f t="shared" si="12"/>
        <v>97.8689847881175</v>
      </c>
    </row>
    <row r="227" spans="1:7" ht="13.5">
      <c r="A227" s="502" t="s">
        <v>513</v>
      </c>
      <c r="B227" s="503" t="s">
        <v>512</v>
      </c>
      <c r="C227" s="505">
        <v>1550826</v>
      </c>
      <c r="D227" s="505">
        <v>1583236</v>
      </c>
      <c r="E227" s="505">
        <v>1549497</v>
      </c>
      <c r="F227" s="497">
        <f>E227/C227*100</f>
        <v>99.91430373233361</v>
      </c>
      <c r="G227" s="498">
        <f t="shared" si="12"/>
        <v>97.8689847881175</v>
      </c>
    </row>
    <row r="228" spans="1:7" ht="13.5">
      <c r="A228" s="502" t="s">
        <v>1344</v>
      </c>
      <c r="B228" s="506" t="s">
        <v>1343</v>
      </c>
      <c r="C228" s="540">
        <f>C229+C231+C233+C237+C235</f>
        <v>0</v>
      </c>
      <c r="D228" s="540">
        <f>D229+D231+D233+D237+D235</f>
        <v>12749.1</v>
      </c>
      <c r="E228" s="540">
        <f>E229+E231+E233+E237+E235</f>
        <v>11391</v>
      </c>
      <c r="F228" s="497">
        <v>0</v>
      </c>
      <c r="G228" s="498">
        <f t="shared" si="12"/>
        <v>89.347483351766</v>
      </c>
    </row>
    <row r="229" spans="1:7" ht="48" hidden="1">
      <c r="A229" s="502" t="s">
        <v>635</v>
      </c>
      <c r="B229" s="506" t="s">
        <v>634</v>
      </c>
      <c r="C229" s="540">
        <f>C230</f>
        <v>0</v>
      </c>
      <c r="D229" s="540">
        <f>D230</f>
        <v>0</v>
      </c>
      <c r="E229" s="540">
        <f>E230</f>
        <v>0</v>
      </c>
      <c r="F229" s="497">
        <v>0</v>
      </c>
      <c r="G229" s="498"/>
    </row>
    <row r="230" spans="1:7" ht="48" hidden="1">
      <c r="A230" s="502" t="s">
        <v>514</v>
      </c>
      <c r="B230" s="506" t="s">
        <v>1498</v>
      </c>
      <c r="C230" s="541">
        <v>0</v>
      </c>
      <c r="D230" s="541">
        <v>0</v>
      </c>
      <c r="E230" s="541">
        <v>0</v>
      </c>
      <c r="F230" s="497">
        <v>0</v>
      </c>
      <c r="G230" s="498"/>
    </row>
    <row r="231" spans="1:7" ht="36">
      <c r="A231" s="502" t="s">
        <v>994</v>
      </c>
      <c r="B231" s="506" t="s">
        <v>310</v>
      </c>
      <c r="C231" s="540">
        <f>C232</f>
        <v>0</v>
      </c>
      <c r="D231" s="540">
        <f>D232</f>
        <v>12084</v>
      </c>
      <c r="E231" s="540">
        <f>E232</f>
        <v>11097.4</v>
      </c>
      <c r="F231" s="497">
        <v>0</v>
      </c>
      <c r="G231" s="498">
        <f t="shared" si="12"/>
        <v>91.835484938762</v>
      </c>
    </row>
    <row r="232" spans="1:7" ht="36">
      <c r="A232" s="502" t="s">
        <v>118</v>
      </c>
      <c r="B232" s="506" t="s">
        <v>311</v>
      </c>
      <c r="C232" s="541">
        <v>0</v>
      </c>
      <c r="D232" s="541">
        <v>12084</v>
      </c>
      <c r="E232" s="541">
        <v>11097.4</v>
      </c>
      <c r="F232" s="497">
        <v>0</v>
      </c>
      <c r="G232" s="498">
        <f t="shared" si="12"/>
        <v>91.835484938762</v>
      </c>
    </row>
    <row r="233" spans="1:7" ht="24">
      <c r="A233" s="502" t="s">
        <v>428</v>
      </c>
      <c r="B233" s="506" t="s">
        <v>312</v>
      </c>
      <c r="C233" s="540">
        <f>C234</f>
        <v>0</v>
      </c>
      <c r="D233" s="540">
        <f>D234</f>
        <v>65.1</v>
      </c>
      <c r="E233" s="540">
        <f>E234</f>
        <v>65</v>
      </c>
      <c r="F233" s="497">
        <v>0</v>
      </c>
      <c r="G233" s="498">
        <f t="shared" si="12"/>
        <v>99.84639016897083</v>
      </c>
    </row>
    <row r="234" spans="1:7" ht="24">
      <c r="A234" s="502" t="s">
        <v>1324</v>
      </c>
      <c r="B234" s="506" t="s">
        <v>1307</v>
      </c>
      <c r="C234" s="541">
        <v>0</v>
      </c>
      <c r="D234" s="541">
        <v>65.1</v>
      </c>
      <c r="E234" s="541">
        <v>65</v>
      </c>
      <c r="F234" s="497">
        <v>0</v>
      </c>
      <c r="G234" s="498">
        <f t="shared" si="12"/>
        <v>99.84639016897083</v>
      </c>
    </row>
    <row r="235" spans="1:7" ht="48">
      <c r="A235" s="547" t="s">
        <v>313</v>
      </c>
      <c r="B235" s="548" t="s">
        <v>314</v>
      </c>
      <c r="C235" s="540">
        <f>C236</f>
        <v>0</v>
      </c>
      <c r="D235" s="540">
        <f>D236</f>
        <v>600</v>
      </c>
      <c r="E235" s="540">
        <f>E236</f>
        <v>228.6</v>
      </c>
      <c r="F235" s="497">
        <v>0</v>
      </c>
      <c r="G235" s="498">
        <f t="shared" si="12"/>
        <v>38.1</v>
      </c>
    </row>
    <row r="236" spans="1:7" ht="48">
      <c r="A236" s="547" t="s">
        <v>315</v>
      </c>
      <c r="B236" s="548" t="s">
        <v>316</v>
      </c>
      <c r="C236" s="541">
        <v>0</v>
      </c>
      <c r="D236" s="541">
        <v>600</v>
      </c>
      <c r="E236" s="541">
        <v>228.6</v>
      </c>
      <c r="F236" s="497">
        <v>0</v>
      </c>
      <c r="G236" s="498">
        <f t="shared" si="12"/>
        <v>38.1</v>
      </c>
    </row>
    <row r="237" spans="1:7" ht="13.5">
      <c r="A237" s="502" t="s">
        <v>1507</v>
      </c>
      <c r="B237" s="506" t="s">
        <v>317</v>
      </c>
      <c r="C237" s="540">
        <f>C238</f>
        <v>0</v>
      </c>
      <c r="D237" s="540">
        <f>D238</f>
        <v>0</v>
      </c>
      <c r="E237" s="540">
        <f>E238</f>
        <v>0</v>
      </c>
      <c r="F237" s="497">
        <v>0</v>
      </c>
      <c r="G237" s="561">
        <v>0</v>
      </c>
    </row>
    <row r="238" spans="1:7" ht="13.5">
      <c r="A238" s="502" t="s">
        <v>1278</v>
      </c>
      <c r="B238" s="506" t="s">
        <v>1370</v>
      </c>
      <c r="C238" s="541">
        <v>0</v>
      </c>
      <c r="D238" s="541">
        <v>0</v>
      </c>
      <c r="E238" s="541">
        <v>0</v>
      </c>
      <c r="F238" s="497">
        <v>0</v>
      </c>
      <c r="G238" s="561">
        <v>0</v>
      </c>
    </row>
    <row r="239" spans="1:7" ht="13.5">
      <c r="A239" s="549" t="s">
        <v>476</v>
      </c>
      <c r="B239" s="503" t="s">
        <v>475</v>
      </c>
      <c r="C239" s="540">
        <f>C242+C243</f>
        <v>0</v>
      </c>
      <c r="D239" s="540">
        <f>D240</f>
        <v>2898.5</v>
      </c>
      <c r="E239" s="540">
        <f>E240</f>
        <v>2898.6</v>
      </c>
      <c r="F239" s="497">
        <v>0</v>
      </c>
      <c r="G239" s="498">
        <f t="shared" si="12"/>
        <v>100.00345006037605</v>
      </c>
    </row>
    <row r="240" spans="1:7" ht="13.5">
      <c r="A240" s="550" t="s">
        <v>69</v>
      </c>
      <c r="B240" s="543" t="s">
        <v>982</v>
      </c>
      <c r="C240" s="540">
        <v>0</v>
      </c>
      <c r="D240" s="540">
        <f>D241+D242+D243</f>
        <v>2898.5</v>
      </c>
      <c r="E240" s="540">
        <f>E241+E242+E243</f>
        <v>2898.6</v>
      </c>
      <c r="F240" s="497">
        <v>0</v>
      </c>
      <c r="G240" s="498">
        <f t="shared" si="12"/>
        <v>100.00345006037605</v>
      </c>
    </row>
    <row r="241" spans="1:7" ht="48">
      <c r="A241" s="551" t="s">
        <v>640</v>
      </c>
      <c r="B241" s="552" t="s">
        <v>684</v>
      </c>
      <c r="C241" s="540"/>
      <c r="D241" s="541">
        <v>0</v>
      </c>
      <c r="E241" s="540">
        <v>0</v>
      </c>
      <c r="F241" s="497">
        <v>0</v>
      </c>
      <c r="G241" s="498">
        <v>0</v>
      </c>
    </row>
    <row r="242" spans="1:7" ht="24">
      <c r="A242" s="502" t="s">
        <v>641</v>
      </c>
      <c r="B242" s="506" t="s">
        <v>318</v>
      </c>
      <c r="C242" s="541">
        <v>0</v>
      </c>
      <c r="D242" s="541">
        <v>4.6</v>
      </c>
      <c r="E242" s="553">
        <v>4.6</v>
      </c>
      <c r="F242" s="497">
        <v>0</v>
      </c>
      <c r="G242" s="498">
        <f t="shared" si="12"/>
        <v>100</v>
      </c>
    </row>
    <row r="243" spans="1:7" ht="13.5">
      <c r="A243" s="502" t="s">
        <v>46</v>
      </c>
      <c r="B243" s="506" t="s">
        <v>319</v>
      </c>
      <c r="C243" s="541">
        <v>0</v>
      </c>
      <c r="D243" s="541">
        <v>2893.9</v>
      </c>
      <c r="E243" s="554">
        <v>2894</v>
      </c>
      <c r="F243" s="497">
        <v>0</v>
      </c>
      <c r="G243" s="498">
        <f t="shared" si="12"/>
        <v>100.00345554442103</v>
      </c>
    </row>
    <row r="244" spans="1:7" ht="36">
      <c r="A244" s="502" t="s">
        <v>1641</v>
      </c>
      <c r="B244" s="503" t="s">
        <v>1013</v>
      </c>
      <c r="C244" s="555">
        <f>C245</f>
        <v>0</v>
      </c>
      <c r="D244" s="555">
        <f>D245</f>
        <v>-49542.3</v>
      </c>
      <c r="E244" s="555">
        <f>E245</f>
        <v>-49542.2</v>
      </c>
      <c r="F244" s="497">
        <v>0</v>
      </c>
      <c r="G244" s="498">
        <f t="shared" si="12"/>
        <v>99.99979815228602</v>
      </c>
    </row>
    <row r="245" spans="1:7" ht="24">
      <c r="A245" s="502" t="s">
        <v>633</v>
      </c>
      <c r="B245" s="503" t="s">
        <v>320</v>
      </c>
      <c r="C245" s="505">
        <v>0</v>
      </c>
      <c r="D245" s="505">
        <v>-49542.3</v>
      </c>
      <c r="E245" s="505">
        <v>-49542.2</v>
      </c>
      <c r="F245" s="497">
        <v>0</v>
      </c>
      <c r="G245" s="498">
        <f t="shared" si="12"/>
        <v>99.99979815228602</v>
      </c>
    </row>
    <row r="246" spans="1:7" ht="13.5">
      <c r="A246" s="534" t="s">
        <v>682</v>
      </c>
      <c r="B246" s="556" t="s">
        <v>681</v>
      </c>
      <c r="C246" s="539">
        <f>C17+C172</f>
        <v>5395445.6</v>
      </c>
      <c r="D246" s="539">
        <f>D17+D172</f>
        <v>5857314.4</v>
      </c>
      <c r="E246" s="539">
        <f>E17+E172</f>
        <v>5885537.1</v>
      </c>
      <c r="F246" s="497">
        <f>E246/C246*100</f>
        <v>109.0834295502859</v>
      </c>
      <c r="G246" s="498">
        <f t="shared" si="12"/>
        <v>100.48183686366569</v>
      </c>
    </row>
    <row r="247" ht="13.5">
      <c r="G247" s="560"/>
    </row>
  </sheetData>
  <sheetProtection selectLockedCells="1" selectUnlockedCells="1"/>
  <mergeCells count="4">
    <mergeCell ref="A5:G5"/>
    <mergeCell ref="A11:G11"/>
    <mergeCell ref="A12:G12"/>
    <mergeCell ref="A10:G10"/>
  </mergeCells>
  <dataValidations count="1">
    <dataValidation allowBlank="1" promptTitle="Расчетное значение" prompt="Считается автоматически" sqref="D134:E134 D92 D22:D52 D55:E55 D65:E65 D71:E72 E59 E76:E77 D61:E62 D74:E74 D54 F175 D63 D66:D67 D73 D70 D170:E171 D153:D158 D159:E159 E151 D166 D149:D151 E155:E156 D130:E131 D139:E139 E112 D160:D164 D165:E165 D141:E141 D135:D138 D167:E168 E126 D96:E98 D53:E53 D93:E93 D90:E91 E81 E52 E118:E119 D111:D112 E49 D123:E124 D109:E110 E121 E30:E39 D125:D126 D127:E127 D108 E95 E44 E46:E47 D68:E69 E42 D132:D133 C145:E147 E133 E24:E25 D114:D122 E138 E79 E57 D56:D60 D94:D95 D100:E107 D113:E113 F193:F194 D17:D20 E17:E19 C17:C144 C148:C171 C172:E246"/>
  </dataValidations>
  <printOptions/>
  <pageMargins left="0.7480314960629921" right="0.7480314960629921" top="0.6692913385826772" bottom="0.5118110236220472" header="0.5118110236220472" footer="0.5118110236220472"/>
  <pageSetup firstPageNumber="1" useFirstPageNumber="1" fitToHeight="0" fitToWidth="1" horizontalDpi="600" verticalDpi="600" orientation="portrait" paperSize="9" scale="62" r:id="rId3"/>
  <headerFooter alignWithMargins="0">
    <oddFooter>&amp;R&amp;P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view="pageBreakPreview" zoomScale="60" zoomScalePageLayoutView="0" workbookViewId="0" topLeftCell="A1">
      <selection activeCell="A7" sqref="A7:J7"/>
    </sheetView>
  </sheetViews>
  <sheetFormatPr defaultColWidth="9.00390625" defaultRowHeight="12.75"/>
  <cols>
    <col min="1" max="1" width="16.375" style="0" customWidth="1"/>
    <col min="2" max="2" width="12.875" style="260" customWidth="1"/>
    <col min="3" max="3" width="10.375" style="410" customWidth="1"/>
    <col min="4" max="4" width="13.50390625" style="410" customWidth="1"/>
    <col min="5" max="5" width="9.50390625" style="410" customWidth="1"/>
    <col min="6" max="6" width="11.375" style="410" customWidth="1"/>
    <col min="7" max="7" width="19.50390625" style="261" customWidth="1"/>
    <col min="8" max="8" width="71.50390625" style="260" customWidth="1"/>
    <col min="9" max="9" width="22.50390625" style="410" customWidth="1"/>
    <col min="10" max="10" width="20.375" style="411" customWidth="1"/>
    <col min="11" max="11" width="10.125" style="0" customWidth="1"/>
    <col min="12" max="13" width="9.125" style="0" customWidth="1"/>
    <col min="14" max="14" width="9.50390625" style="0" customWidth="1"/>
  </cols>
  <sheetData>
    <row r="1" spans="3:11" ht="15">
      <c r="C1" s="260"/>
      <c r="D1" s="260"/>
      <c r="E1" s="260"/>
      <c r="F1" s="260"/>
      <c r="J1" s="57"/>
      <c r="K1" s="8" t="s">
        <v>612</v>
      </c>
    </row>
    <row r="2" spans="3:11" ht="12.75" customHeight="1">
      <c r="C2" s="260"/>
      <c r="D2" s="260"/>
      <c r="E2" s="260"/>
      <c r="F2" s="260"/>
      <c r="J2" s="57"/>
      <c r="K2" s="8" t="s">
        <v>772</v>
      </c>
    </row>
    <row r="3" spans="3:11" ht="14.25" customHeight="1">
      <c r="C3" s="260"/>
      <c r="D3" s="260"/>
      <c r="E3" s="260"/>
      <c r="F3" s="260"/>
      <c r="J3" s="57"/>
      <c r="K3" s="57" t="s">
        <v>1738</v>
      </c>
    </row>
    <row r="4" spans="2:11" ht="13.5" customHeight="1">
      <c r="B4"/>
      <c r="C4"/>
      <c r="D4"/>
      <c r="E4"/>
      <c r="F4"/>
      <c r="G4" s="263"/>
      <c r="H4" s="262"/>
      <c r="J4" s="262"/>
      <c r="K4" s="262"/>
    </row>
    <row r="5" spans="2:10" ht="15" customHeight="1">
      <c r="B5"/>
      <c r="C5"/>
      <c r="D5"/>
      <c r="E5"/>
      <c r="F5"/>
      <c r="G5" s="263"/>
      <c r="H5" s="264"/>
      <c r="I5" s="262"/>
      <c r="J5"/>
    </row>
    <row r="6" spans="2:10" ht="18" customHeight="1">
      <c r="B6"/>
      <c r="C6"/>
      <c r="D6"/>
      <c r="E6"/>
      <c r="F6"/>
      <c r="G6" s="263"/>
      <c r="H6"/>
      <c r="I6"/>
      <c r="J6"/>
    </row>
    <row r="7" spans="1:10" ht="15">
      <c r="A7" s="711" t="s">
        <v>920</v>
      </c>
      <c r="B7" s="711"/>
      <c r="C7" s="711"/>
      <c r="D7" s="711"/>
      <c r="E7" s="711"/>
      <c r="F7" s="711"/>
      <c r="G7" s="711"/>
      <c r="H7" s="711"/>
      <c r="I7" s="711"/>
      <c r="J7" s="711"/>
    </row>
    <row r="8" spans="1:10" ht="15" customHeight="1">
      <c r="A8" s="711" t="s">
        <v>921</v>
      </c>
      <c r="B8" s="711"/>
      <c r="C8" s="711"/>
      <c r="D8" s="711"/>
      <c r="E8" s="711"/>
      <c r="F8" s="711"/>
      <c r="G8" s="711"/>
      <c r="H8" s="711"/>
      <c r="I8" s="711"/>
      <c r="J8" s="711"/>
    </row>
    <row r="9" spans="1:10" ht="18" customHeight="1">
      <c r="A9" s="712" t="s">
        <v>922</v>
      </c>
      <c r="B9" s="712"/>
      <c r="C9" s="712"/>
      <c r="D9" s="712"/>
      <c r="E9" s="712"/>
      <c r="F9" s="712"/>
      <c r="G9" s="712"/>
      <c r="H9" s="712"/>
      <c r="I9" s="712"/>
      <c r="J9" s="712"/>
    </row>
    <row r="10" spans="1:10" ht="10.5" customHeight="1">
      <c r="A10" s="266"/>
      <c r="B10"/>
      <c r="C10" s="265"/>
      <c r="D10" s="265"/>
      <c r="E10" s="265"/>
      <c r="F10" s="265"/>
      <c r="G10" s="267"/>
      <c r="H10" s="265"/>
      <c r="I10" s="265"/>
      <c r="J10" s="265"/>
    </row>
    <row r="11" spans="1:10" ht="20.25" customHeight="1">
      <c r="A11" s="268"/>
      <c r="C11" s="265"/>
      <c r="D11" s="265"/>
      <c r="E11" s="265"/>
      <c r="F11" s="265"/>
      <c r="G11" s="267"/>
      <c r="H11" s="265"/>
      <c r="I11" s="265"/>
      <c r="J11" s="265"/>
    </row>
    <row r="12" spans="1:14" ht="23.25" customHeight="1">
      <c r="A12" s="713" t="s">
        <v>923</v>
      </c>
      <c r="B12" s="713" t="s">
        <v>924</v>
      </c>
      <c r="C12" s="705" t="s">
        <v>925</v>
      </c>
      <c r="D12" s="705" t="s">
        <v>926</v>
      </c>
      <c r="E12" s="705" t="s">
        <v>927</v>
      </c>
      <c r="F12" s="705" t="s">
        <v>928</v>
      </c>
      <c r="G12" s="706" t="s">
        <v>1573</v>
      </c>
      <c r="H12" s="704" t="s">
        <v>929</v>
      </c>
      <c r="I12" s="704" t="s">
        <v>930</v>
      </c>
      <c r="J12" s="707" t="s">
        <v>931</v>
      </c>
      <c r="K12" s="269"/>
      <c r="L12" s="269"/>
      <c r="M12" s="270"/>
      <c r="N12" s="271"/>
    </row>
    <row r="13" spans="1:14" ht="75" customHeight="1">
      <c r="A13" s="714"/>
      <c r="B13" s="715"/>
      <c r="C13" s="705"/>
      <c r="D13" s="705"/>
      <c r="E13" s="705"/>
      <c r="F13" s="705"/>
      <c r="G13" s="706"/>
      <c r="H13" s="704"/>
      <c r="I13" s="704"/>
      <c r="J13" s="708"/>
      <c r="K13" s="272" t="s">
        <v>932</v>
      </c>
      <c r="L13" s="272" t="s">
        <v>933</v>
      </c>
      <c r="M13" s="273" t="s">
        <v>934</v>
      </c>
      <c r="N13" s="274" t="s">
        <v>933</v>
      </c>
    </row>
    <row r="14" spans="1:14" ht="26.25" customHeight="1">
      <c r="A14" s="275">
        <v>7000000</v>
      </c>
      <c r="B14" s="276"/>
      <c r="C14" s="277"/>
      <c r="D14" s="277"/>
      <c r="E14" s="277"/>
      <c r="F14" s="277"/>
      <c r="G14" s="278"/>
      <c r="H14" s="279"/>
      <c r="I14" s="279"/>
      <c r="J14" s="280"/>
      <c r="K14" s="281"/>
      <c r="L14" s="281"/>
      <c r="M14" s="274"/>
      <c r="N14" s="274"/>
    </row>
    <row r="15" spans="1:14" ht="80.25" customHeight="1">
      <c r="A15" s="282"/>
      <c r="B15" s="283"/>
      <c r="C15" s="284" t="s">
        <v>935</v>
      </c>
      <c r="D15" s="284" t="s">
        <v>1005</v>
      </c>
      <c r="E15" s="284" t="s">
        <v>913</v>
      </c>
      <c r="F15" s="285" t="s">
        <v>936</v>
      </c>
      <c r="G15" s="286">
        <v>45000</v>
      </c>
      <c r="H15" s="287" t="s">
        <v>937</v>
      </c>
      <c r="I15" s="288" t="s">
        <v>1596</v>
      </c>
      <c r="J15" s="289">
        <v>45000</v>
      </c>
      <c r="K15" s="290" t="s">
        <v>938</v>
      </c>
      <c r="L15" s="291" t="s">
        <v>939</v>
      </c>
      <c r="M15" s="292">
        <v>6</v>
      </c>
      <c r="N15" s="293" t="s">
        <v>940</v>
      </c>
    </row>
    <row r="16" spans="1:14" ht="27.75" customHeight="1">
      <c r="A16" s="294"/>
      <c r="B16" s="294"/>
      <c r="C16" s="295" t="s">
        <v>941</v>
      </c>
      <c r="D16" s="295" t="s">
        <v>942</v>
      </c>
      <c r="E16" s="295" t="s">
        <v>1014</v>
      </c>
      <c r="F16" s="295" t="s">
        <v>1014</v>
      </c>
      <c r="G16" s="296">
        <f>SUM(G15:G15)</f>
        <v>45000</v>
      </c>
      <c r="H16" s="297" t="s">
        <v>943</v>
      </c>
      <c r="I16" s="298"/>
      <c r="J16" s="296">
        <f>SUM(J15:J15)</f>
        <v>45000</v>
      </c>
      <c r="K16" s="299"/>
      <c r="L16" s="299"/>
      <c r="M16" s="300"/>
      <c r="N16" s="301"/>
    </row>
    <row r="17" spans="1:14" ht="95.25" customHeight="1">
      <c r="A17" s="302"/>
      <c r="B17" s="302"/>
      <c r="C17" s="284" t="s">
        <v>944</v>
      </c>
      <c r="D17" s="284" t="s">
        <v>945</v>
      </c>
      <c r="E17" s="284" t="s">
        <v>946</v>
      </c>
      <c r="F17" s="284" t="s">
        <v>947</v>
      </c>
      <c r="G17" s="289">
        <v>33370</v>
      </c>
      <c r="H17" s="287" t="s">
        <v>948</v>
      </c>
      <c r="I17" s="288" t="s">
        <v>756</v>
      </c>
      <c r="J17" s="289">
        <v>33370</v>
      </c>
      <c r="K17" s="290" t="s">
        <v>949</v>
      </c>
      <c r="L17" s="291" t="s">
        <v>950</v>
      </c>
      <c r="M17" s="292">
        <v>10</v>
      </c>
      <c r="N17" s="303">
        <v>42033</v>
      </c>
    </row>
    <row r="18" spans="1:14" ht="25.5" customHeight="1">
      <c r="A18" s="294"/>
      <c r="B18" s="294"/>
      <c r="C18" s="295" t="s">
        <v>951</v>
      </c>
      <c r="D18" s="295" t="s">
        <v>942</v>
      </c>
      <c r="E18" s="295" t="s">
        <v>1014</v>
      </c>
      <c r="F18" s="295" t="s">
        <v>1014</v>
      </c>
      <c r="G18" s="296">
        <f>SUM(G17:G17)</f>
        <v>33370</v>
      </c>
      <c r="H18" s="297" t="s">
        <v>952</v>
      </c>
      <c r="I18" s="298"/>
      <c r="J18" s="296">
        <f>J17</f>
        <v>33370</v>
      </c>
      <c r="K18" s="299"/>
      <c r="L18" s="299"/>
      <c r="M18" s="300"/>
      <c r="N18" s="301"/>
    </row>
    <row r="19" spans="1:14" ht="64.5" customHeight="1">
      <c r="A19" s="302"/>
      <c r="B19" s="302"/>
      <c r="C19" s="284" t="s">
        <v>953</v>
      </c>
      <c r="D19" s="284" t="s">
        <v>727</v>
      </c>
      <c r="E19" s="284" t="s">
        <v>954</v>
      </c>
      <c r="F19" s="284" t="s">
        <v>955</v>
      </c>
      <c r="G19" s="289">
        <v>120000</v>
      </c>
      <c r="H19" s="304" t="s">
        <v>956</v>
      </c>
      <c r="I19" s="288" t="s">
        <v>1596</v>
      </c>
      <c r="J19" s="289">
        <v>120000</v>
      </c>
      <c r="K19" s="290" t="s">
        <v>957</v>
      </c>
      <c r="L19" s="291" t="s">
        <v>940</v>
      </c>
      <c r="M19" s="292">
        <v>4</v>
      </c>
      <c r="N19" s="305" t="s">
        <v>958</v>
      </c>
    </row>
    <row r="20" spans="1:14" ht="65.25" customHeight="1">
      <c r="A20" s="302"/>
      <c r="B20" s="302"/>
      <c r="C20" s="284" t="s">
        <v>953</v>
      </c>
      <c r="D20" s="284" t="s">
        <v>727</v>
      </c>
      <c r="E20" s="284" t="s">
        <v>954</v>
      </c>
      <c r="F20" s="284" t="s">
        <v>955</v>
      </c>
      <c r="G20" s="289">
        <v>60000</v>
      </c>
      <c r="H20" s="304" t="s">
        <v>959</v>
      </c>
      <c r="I20" s="288" t="s">
        <v>1596</v>
      </c>
      <c r="J20" s="289">
        <v>60000</v>
      </c>
      <c r="K20" s="290" t="s">
        <v>960</v>
      </c>
      <c r="L20" s="291" t="s">
        <v>961</v>
      </c>
      <c r="M20" s="292">
        <v>9</v>
      </c>
      <c r="N20" s="305" t="s">
        <v>962</v>
      </c>
    </row>
    <row r="21" spans="1:14" ht="66.75" customHeight="1">
      <c r="A21" s="302"/>
      <c r="B21" s="302"/>
      <c r="C21" s="284" t="s">
        <v>953</v>
      </c>
      <c r="D21" s="284" t="s">
        <v>727</v>
      </c>
      <c r="E21" s="284" t="s">
        <v>954</v>
      </c>
      <c r="F21" s="284" t="s">
        <v>955</v>
      </c>
      <c r="G21" s="289">
        <v>135000</v>
      </c>
      <c r="H21" s="304" t="s">
        <v>161</v>
      </c>
      <c r="I21" s="288" t="s">
        <v>1596</v>
      </c>
      <c r="J21" s="289">
        <v>135000</v>
      </c>
      <c r="K21" s="290" t="s">
        <v>162</v>
      </c>
      <c r="L21" s="291" t="s">
        <v>163</v>
      </c>
      <c r="M21" s="292">
        <v>32</v>
      </c>
      <c r="N21" s="303" t="s">
        <v>164</v>
      </c>
    </row>
    <row r="22" spans="1:14" ht="60.75" customHeight="1">
      <c r="A22" s="302"/>
      <c r="B22" s="302"/>
      <c r="C22" s="284" t="s">
        <v>953</v>
      </c>
      <c r="D22" s="284" t="s">
        <v>727</v>
      </c>
      <c r="E22" s="284" t="s">
        <v>954</v>
      </c>
      <c r="F22" s="284" t="s">
        <v>955</v>
      </c>
      <c r="G22" s="289">
        <v>30000</v>
      </c>
      <c r="H22" s="304" t="s">
        <v>165</v>
      </c>
      <c r="I22" s="288" t="s">
        <v>1596</v>
      </c>
      <c r="J22" s="289">
        <v>30000</v>
      </c>
      <c r="K22" s="290" t="s">
        <v>166</v>
      </c>
      <c r="L22" s="291" t="s">
        <v>167</v>
      </c>
      <c r="M22" s="292">
        <v>43</v>
      </c>
      <c r="N22" s="303" t="s">
        <v>168</v>
      </c>
    </row>
    <row r="23" spans="1:14" ht="63" customHeight="1">
      <c r="A23" s="302"/>
      <c r="B23" s="302"/>
      <c r="C23" s="284" t="s">
        <v>953</v>
      </c>
      <c r="D23" s="284" t="s">
        <v>727</v>
      </c>
      <c r="E23" s="284" t="s">
        <v>954</v>
      </c>
      <c r="F23" s="284" t="s">
        <v>955</v>
      </c>
      <c r="G23" s="289">
        <v>30000</v>
      </c>
      <c r="H23" s="304" t="s">
        <v>1080</v>
      </c>
      <c r="I23" s="288" t="s">
        <v>1596</v>
      </c>
      <c r="J23" s="289">
        <v>30000</v>
      </c>
      <c r="K23" s="290" t="s">
        <v>1081</v>
      </c>
      <c r="L23" s="291" t="s">
        <v>167</v>
      </c>
      <c r="M23" s="292">
        <v>44</v>
      </c>
      <c r="N23" s="303" t="s">
        <v>168</v>
      </c>
    </row>
    <row r="24" spans="1:14" ht="61.5" customHeight="1">
      <c r="A24" s="302"/>
      <c r="B24" s="302"/>
      <c r="C24" s="284" t="s">
        <v>953</v>
      </c>
      <c r="D24" s="284" t="s">
        <v>727</v>
      </c>
      <c r="E24" s="284" t="s">
        <v>954</v>
      </c>
      <c r="F24" s="284" t="s">
        <v>955</v>
      </c>
      <c r="G24" s="289">
        <v>120000</v>
      </c>
      <c r="H24" s="304" t="s">
        <v>1082</v>
      </c>
      <c r="I24" s="288" t="s">
        <v>1596</v>
      </c>
      <c r="J24" s="289">
        <v>120000</v>
      </c>
      <c r="K24" s="290" t="s">
        <v>1083</v>
      </c>
      <c r="L24" s="291" t="s">
        <v>1084</v>
      </c>
      <c r="M24" s="292">
        <v>68</v>
      </c>
      <c r="N24" s="305" t="s">
        <v>1085</v>
      </c>
    </row>
    <row r="25" spans="1:14" ht="61.5" customHeight="1">
      <c r="A25" s="302"/>
      <c r="B25" s="302"/>
      <c r="C25" s="284" t="s">
        <v>953</v>
      </c>
      <c r="D25" s="284" t="s">
        <v>727</v>
      </c>
      <c r="E25" s="284" t="s">
        <v>954</v>
      </c>
      <c r="F25" s="284" t="s">
        <v>955</v>
      </c>
      <c r="G25" s="289">
        <v>150000</v>
      </c>
      <c r="H25" s="304" t="s">
        <v>1086</v>
      </c>
      <c r="I25" s="288" t="s">
        <v>1596</v>
      </c>
      <c r="J25" s="289">
        <v>150000</v>
      </c>
      <c r="K25" s="290" t="s">
        <v>1087</v>
      </c>
      <c r="L25" s="291" t="s">
        <v>1084</v>
      </c>
      <c r="M25" s="292">
        <v>67</v>
      </c>
      <c r="N25" s="305" t="s">
        <v>1085</v>
      </c>
    </row>
    <row r="26" spans="1:14" ht="27.75" customHeight="1">
      <c r="A26" s="306"/>
      <c r="B26" s="306"/>
      <c r="C26" s="295" t="s">
        <v>1088</v>
      </c>
      <c r="D26" s="295" t="s">
        <v>942</v>
      </c>
      <c r="E26" s="295" t="s">
        <v>1014</v>
      </c>
      <c r="F26" s="307" t="s">
        <v>1014</v>
      </c>
      <c r="G26" s="296">
        <f>SUM(G19:G25)</f>
        <v>645000</v>
      </c>
      <c r="H26" s="297" t="s">
        <v>1089</v>
      </c>
      <c r="I26" s="298"/>
      <c r="J26" s="296">
        <f>SUM(J19:J25)</f>
        <v>645000</v>
      </c>
      <c r="K26" s="308"/>
      <c r="L26" s="299"/>
      <c r="M26" s="300"/>
      <c r="N26" s="309"/>
    </row>
    <row r="27" spans="1:14" ht="27" customHeight="1">
      <c r="A27" s="310">
        <v>7000000</v>
      </c>
      <c r="B27" s="310">
        <v>7000000</v>
      </c>
      <c r="C27" s="311"/>
      <c r="D27" s="311"/>
      <c r="E27" s="311"/>
      <c r="F27" s="311"/>
      <c r="G27" s="312">
        <f>G26+G18+G16</f>
        <v>723370</v>
      </c>
      <c r="H27" s="709" t="s">
        <v>1090</v>
      </c>
      <c r="I27" s="710"/>
      <c r="J27" s="312">
        <f>J26+J18+J16</f>
        <v>723370</v>
      </c>
      <c r="K27" s="313"/>
      <c r="L27" s="314"/>
      <c r="M27" s="315"/>
      <c r="N27" s="316"/>
    </row>
    <row r="28" spans="1:14" ht="50.25" customHeight="1">
      <c r="A28" s="282"/>
      <c r="B28" s="283"/>
      <c r="C28" s="284" t="s">
        <v>1091</v>
      </c>
      <c r="D28" s="284" t="s">
        <v>130</v>
      </c>
      <c r="E28" s="284" t="s">
        <v>1092</v>
      </c>
      <c r="F28" s="285" t="s">
        <v>1093</v>
      </c>
      <c r="G28" s="289">
        <v>0</v>
      </c>
      <c r="H28" s="317" t="s">
        <v>1094</v>
      </c>
      <c r="I28" s="288" t="s">
        <v>1596</v>
      </c>
      <c r="J28" s="289">
        <v>2167873</v>
      </c>
      <c r="K28" s="290" t="s">
        <v>1095</v>
      </c>
      <c r="L28" s="318" t="s">
        <v>1096</v>
      </c>
      <c r="M28" s="292">
        <v>92</v>
      </c>
      <c r="N28" s="293" t="s">
        <v>1097</v>
      </c>
    </row>
    <row r="29" spans="1:14" ht="25.5" customHeight="1">
      <c r="A29" s="306"/>
      <c r="B29" s="306"/>
      <c r="C29" s="295" t="s">
        <v>1098</v>
      </c>
      <c r="D29" s="295" t="s">
        <v>942</v>
      </c>
      <c r="E29" s="295" t="s">
        <v>1014</v>
      </c>
      <c r="F29" s="307" t="s">
        <v>1014</v>
      </c>
      <c r="G29" s="296">
        <f>SUM(G28)</f>
        <v>0</v>
      </c>
      <c r="H29" s="297" t="s">
        <v>1099</v>
      </c>
      <c r="I29" s="298"/>
      <c r="J29" s="296">
        <f>SUM(J28)</f>
        <v>2167873</v>
      </c>
      <c r="K29" s="308"/>
      <c r="L29" s="299"/>
      <c r="M29" s="300"/>
      <c r="N29" s="309"/>
    </row>
    <row r="30" spans="1:14" ht="78" customHeight="1">
      <c r="A30" s="319"/>
      <c r="B30" s="319"/>
      <c r="C30" s="284" t="s">
        <v>944</v>
      </c>
      <c r="D30" s="284" t="s">
        <v>1100</v>
      </c>
      <c r="E30" s="284" t="s">
        <v>1101</v>
      </c>
      <c r="F30" s="284" t="s">
        <v>947</v>
      </c>
      <c r="G30" s="320">
        <v>30000</v>
      </c>
      <c r="H30" s="304" t="s">
        <v>1102</v>
      </c>
      <c r="I30" s="288" t="s">
        <v>756</v>
      </c>
      <c r="J30" s="320">
        <v>30000</v>
      </c>
      <c r="K30" s="290" t="s">
        <v>1103</v>
      </c>
      <c r="L30" s="318" t="s">
        <v>1104</v>
      </c>
      <c r="M30" s="292">
        <v>134</v>
      </c>
      <c r="N30" s="303" t="s">
        <v>1105</v>
      </c>
    </row>
    <row r="31" spans="1:14" ht="81" customHeight="1">
      <c r="A31" s="319"/>
      <c r="B31" s="319"/>
      <c r="C31" s="284" t="s">
        <v>944</v>
      </c>
      <c r="D31" s="284" t="s">
        <v>1100</v>
      </c>
      <c r="E31" s="284" t="s">
        <v>1101</v>
      </c>
      <c r="F31" s="284" t="s">
        <v>947</v>
      </c>
      <c r="G31" s="320">
        <v>30000</v>
      </c>
      <c r="H31" s="304" t="s">
        <v>1106</v>
      </c>
      <c r="I31" s="288" t="s">
        <v>756</v>
      </c>
      <c r="J31" s="320">
        <v>30000</v>
      </c>
      <c r="K31" s="290" t="s">
        <v>1107</v>
      </c>
      <c r="L31" s="291" t="s">
        <v>1104</v>
      </c>
      <c r="M31" s="292">
        <v>135</v>
      </c>
      <c r="N31" s="303" t="s">
        <v>1105</v>
      </c>
    </row>
    <row r="32" spans="1:14" ht="81.75" customHeight="1">
      <c r="A32" s="319"/>
      <c r="B32" s="319"/>
      <c r="C32" s="284" t="s">
        <v>1108</v>
      </c>
      <c r="D32" s="284" t="s">
        <v>1109</v>
      </c>
      <c r="E32" s="284" t="s">
        <v>946</v>
      </c>
      <c r="F32" s="284" t="s">
        <v>947</v>
      </c>
      <c r="G32" s="320">
        <v>0</v>
      </c>
      <c r="H32" s="304" t="s">
        <v>1110</v>
      </c>
      <c r="I32" s="288" t="s">
        <v>756</v>
      </c>
      <c r="J32" s="320">
        <v>18780</v>
      </c>
      <c r="K32" s="290" t="s">
        <v>1111</v>
      </c>
      <c r="L32" s="318" t="s">
        <v>1112</v>
      </c>
      <c r="M32" s="292">
        <v>158</v>
      </c>
      <c r="N32" s="303" t="s">
        <v>1113</v>
      </c>
    </row>
    <row r="33" spans="1:14" ht="26.25" customHeight="1">
      <c r="A33" s="294"/>
      <c r="B33" s="294"/>
      <c r="C33" s="295" t="s">
        <v>951</v>
      </c>
      <c r="D33" s="295" t="s">
        <v>942</v>
      </c>
      <c r="E33" s="295" t="s">
        <v>1014</v>
      </c>
      <c r="F33" s="295" t="s">
        <v>1014</v>
      </c>
      <c r="G33" s="296">
        <f>SUM(G30:G32)</f>
        <v>60000</v>
      </c>
      <c r="H33" s="297" t="s">
        <v>952</v>
      </c>
      <c r="I33" s="298"/>
      <c r="J33" s="296">
        <f>SUM(J30:J32)</f>
        <v>78780</v>
      </c>
      <c r="K33" s="299"/>
      <c r="L33" s="299"/>
      <c r="M33" s="300"/>
      <c r="N33" s="301"/>
    </row>
    <row r="34" spans="1:14" ht="67.5" customHeight="1">
      <c r="A34" s="302"/>
      <c r="B34" s="302"/>
      <c r="C34" s="284" t="s">
        <v>953</v>
      </c>
      <c r="D34" s="284" t="s">
        <v>727</v>
      </c>
      <c r="E34" s="284" t="s">
        <v>954</v>
      </c>
      <c r="F34" s="284" t="s">
        <v>955</v>
      </c>
      <c r="G34" s="289">
        <v>120000</v>
      </c>
      <c r="H34" s="304" t="s">
        <v>1114</v>
      </c>
      <c r="I34" s="288" t="s">
        <v>1596</v>
      </c>
      <c r="J34" s="289">
        <v>120000</v>
      </c>
      <c r="K34" s="290" t="s">
        <v>1115</v>
      </c>
      <c r="L34" s="291" t="s">
        <v>1116</v>
      </c>
      <c r="M34" s="292">
        <v>115</v>
      </c>
      <c r="N34" s="305" t="s">
        <v>1117</v>
      </c>
    </row>
    <row r="35" spans="1:14" ht="71.25" customHeight="1">
      <c r="A35" s="302"/>
      <c r="B35" s="302"/>
      <c r="C35" s="284" t="s">
        <v>953</v>
      </c>
      <c r="D35" s="284" t="s">
        <v>727</v>
      </c>
      <c r="E35" s="284" t="s">
        <v>954</v>
      </c>
      <c r="F35" s="284" t="s">
        <v>955</v>
      </c>
      <c r="G35" s="289">
        <v>90000</v>
      </c>
      <c r="H35" s="304" t="s">
        <v>1118</v>
      </c>
      <c r="I35" s="288" t="s">
        <v>1596</v>
      </c>
      <c r="J35" s="289">
        <v>90000</v>
      </c>
      <c r="K35" s="321" t="s">
        <v>1119</v>
      </c>
      <c r="L35" s="322" t="s">
        <v>1116</v>
      </c>
      <c r="M35" s="323">
        <v>116</v>
      </c>
      <c r="N35" s="323" t="s">
        <v>1117</v>
      </c>
    </row>
    <row r="36" spans="1:14" s="235" customFormat="1" ht="72" customHeight="1">
      <c r="A36" s="302"/>
      <c r="B36" s="302"/>
      <c r="C36" s="284" t="s">
        <v>953</v>
      </c>
      <c r="D36" s="284" t="s">
        <v>727</v>
      </c>
      <c r="E36" s="284" t="s">
        <v>954</v>
      </c>
      <c r="F36" s="284" t="s">
        <v>955</v>
      </c>
      <c r="G36" s="289">
        <v>30000</v>
      </c>
      <c r="H36" s="304" t="s">
        <v>1120</v>
      </c>
      <c r="I36" s="288" t="s">
        <v>1596</v>
      </c>
      <c r="J36" s="289">
        <v>30000</v>
      </c>
      <c r="K36" s="321" t="s">
        <v>1121</v>
      </c>
      <c r="L36" s="322" t="s">
        <v>1116</v>
      </c>
      <c r="M36" s="323">
        <v>117</v>
      </c>
      <c r="N36" s="323" t="s">
        <v>1117</v>
      </c>
    </row>
    <row r="37" spans="1:14" s="235" customFormat="1" ht="59.25" customHeight="1">
      <c r="A37" s="302"/>
      <c r="B37" s="302"/>
      <c r="C37" s="284" t="s">
        <v>953</v>
      </c>
      <c r="D37" s="284" t="s">
        <v>727</v>
      </c>
      <c r="E37" s="284" t="s">
        <v>954</v>
      </c>
      <c r="F37" s="284" t="s">
        <v>955</v>
      </c>
      <c r="G37" s="289">
        <v>90000</v>
      </c>
      <c r="H37" s="304" t="s">
        <v>1122</v>
      </c>
      <c r="I37" s="288" t="s">
        <v>1596</v>
      </c>
      <c r="J37" s="289">
        <v>90000</v>
      </c>
      <c r="K37" s="321" t="s">
        <v>1123</v>
      </c>
      <c r="L37" s="322" t="s">
        <v>1124</v>
      </c>
      <c r="M37" s="323">
        <v>119</v>
      </c>
      <c r="N37" s="323" t="s">
        <v>1125</v>
      </c>
    </row>
    <row r="38" spans="1:14" s="235" customFormat="1" ht="70.5" customHeight="1">
      <c r="A38" s="302"/>
      <c r="B38" s="302"/>
      <c r="C38" s="284" t="s">
        <v>953</v>
      </c>
      <c r="D38" s="284" t="s">
        <v>727</v>
      </c>
      <c r="E38" s="284" t="s">
        <v>954</v>
      </c>
      <c r="F38" s="284" t="s">
        <v>955</v>
      </c>
      <c r="G38" s="289">
        <v>30000</v>
      </c>
      <c r="H38" s="304" t="s">
        <v>1126</v>
      </c>
      <c r="I38" s="288" t="s">
        <v>1596</v>
      </c>
      <c r="J38" s="289">
        <v>30000</v>
      </c>
      <c r="K38" s="321" t="s">
        <v>1127</v>
      </c>
      <c r="L38" s="322" t="s">
        <v>1128</v>
      </c>
      <c r="M38" s="323">
        <v>132</v>
      </c>
      <c r="N38" s="323" t="s">
        <v>1129</v>
      </c>
    </row>
    <row r="39" spans="1:14" s="235" customFormat="1" ht="72.75" customHeight="1">
      <c r="A39" s="302"/>
      <c r="B39" s="302"/>
      <c r="C39" s="284" t="s">
        <v>953</v>
      </c>
      <c r="D39" s="284" t="s">
        <v>727</v>
      </c>
      <c r="E39" s="284" t="s">
        <v>954</v>
      </c>
      <c r="F39" s="284" t="s">
        <v>955</v>
      </c>
      <c r="G39" s="289">
        <v>30000</v>
      </c>
      <c r="H39" s="304" t="s">
        <v>1130</v>
      </c>
      <c r="I39" s="288" t="s">
        <v>1596</v>
      </c>
      <c r="J39" s="289">
        <v>30000</v>
      </c>
      <c r="K39" s="321" t="s">
        <v>1131</v>
      </c>
      <c r="L39" s="322" t="s">
        <v>1128</v>
      </c>
      <c r="M39" s="323">
        <v>133</v>
      </c>
      <c r="N39" s="323" t="s">
        <v>1129</v>
      </c>
    </row>
    <row r="40" spans="1:14" ht="70.5" customHeight="1">
      <c r="A40" s="302"/>
      <c r="B40" s="302"/>
      <c r="C40" s="284" t="s">
        <v>953</v>
      </c>
      <c r="D40" s="284" t="s">
        <v>727</v>
      </c>
      <c r="E40" s="284" t="s">
        <v>954</v>
      </c>
      <c r="F40" s="284" t="s">
        <v>955</v>
      </c>
      <c r="G40" s="289">
        <v>30000</v>
      </c>
      <c r="H40" s="304" t="s">
        <v>1132</v>
      </c>
      <c r="I40" s="288" t="s">
        <v>1596</v>
      </c>
      <c r="J40" s="289">
        <v>30000</v>
      </c>
      <c r="K40" s="321" t="s">
        <v>1462</v>
      </c>
      <c r="L40" s="322" t="s">
        <v>1133</v>
      </c>
      <c r="M40" s="323">
        <v>145</v>
      </c>
      <c r="N40" s="323" t="s">
        <v>1134</v>
      </c>
    </row>
    <row r="41" spans="1:14" ht="69" customHeight="1">
      <c r="A41" s="302"/>
      <c r="B41" s="302"/>
      <c r="C41" s="284" t="s">
        <v>953</v>
      </c>
      <c r="D41" s="284" t="s">
        <v>727</v>
      </c>
      <c r="E41" s="284" t="s">
        <v>954</v>
      </c>
      <c r="F41" s="284" t="s">
        <v>955</v>
      </c>
      <c r="G41" s="289">
        <v>90000</v>
      </c>
      <c r="H41" s="304" t="s">
        <v>1135</v>
      </c>
      <c r="I41" s="288" t="s">
        <v>1596</v>
      </c>
      <c r="J41" s="289">
        <v>90000</v>
      </c>
      <c r="K41" s="321" t="s">
        <v>1136</v>
      </c>
      <c r="L41" s="322" t="s">
        <v>1137</v>
      </c>
      <c r="M41" s="323">
        <v>196</v>
      </c>
      <c r="N41" s="323" t="s">
        <v>1138</v>
      </c>
    </row>
    <row r="42" spans="1:14" ht="25.5" customHeight="1">
      <c r="A42" s="306"/>
      <c r="B42" s="306"/>
      <c r="C42" s="295" t="s">
        <v>1088</v>
      </c>
      <c r="D42" s="295" t="s">
        <v>942</v>
      </c>
      <c r="E42" s="295" t="s">
        <v>1014</v>
      </c>
      <c r="F42" s="307" t="s">
        <v>1014</v>
      </c>
      <c r="G42" s="296">
        <f>SUM(G34:G41)</f>
        <v>510000</v>
      </c>
      <c r="H42" s="297" t="s">
        <v>1089</v>
      </c>
      <c r="I42" s="298"/>
      <c r="J42" s="296">
        <f>SUM(J34:J41)</f>
        <v>510000</v>
      </c>
      <c r="K42" s="308"/>
      <c r="L42" s="299"/>
      <c r="M42" s="300"/>
      <c r="N42" s="309"/>
    </row>
    <row r="43" spans="1:14" ht="25.5" customHeight="1">
      <c r="A43" s="324"/>
      <c r="B43" s="324"/>
      <c r="C43" s="325"/>
      <c r="D43" s="325"/>
      <c r="E43" s="325"/>
      <c r="F43" s="325"/>
      <c r="G43" s="312">
        <f>G29+G33+G42</f>
        <v>570000</v>
      </c>
      <c r="H43" s="326" t="s">
        <v>1139</v>
      </c>
      <c r="I43" s="325"/>
      <c r="J43" s="312">
        <f>J29+J42+J33</f>
        <v>2756653</v>
      </c>
      <c r="K43" s="327"/>
      <c r="L43" s="328"/>
      <c r="M43" s="315"/>
      <c r="N43" s="316"/>
    </row>
    <row r="44" spans="1:14" ht="24.75" customHeight="1">
      <c r="A44" s="329">
        <v>7000000</v>
      </c>
      <c r="B44" s="329">
        <v>10000000</v>
      </c>
      <c r="C44" s="325"/>
      <c r="D44" s="325"/>
      <c r="E44" s="325"/>
      <c r="F44" s="325"/>
      <c r="G44" s="312">
        <f>G43+G27</f>
        <v>1293370</v>
      </c>
      <c r="H44" s="326" t="s">
        <v>1140</v>
      </c>
      <c r="I44" s="325"/>
      <c r="J44" s="312">
        <f>J27+J43</f>
        <v>3480023</v>
      </c>
      <c r="K44" s="327"/>
      <c r="L44" s="328"/>
      <c r="M44" s="315"/>
      <c r="N44" s="316"/>
    </row>
    <row r="45" spans="1:14" ht="59.25" customHeight="1">
      <c r="A45" s="330"/>
      <c r="B45" s="331"/>
      <c r="C45" s="284" t="s">
        <v>1091</v>
      </c>
      <c r="D45" s="284" t="s">
        <v>130</v>
      </c>
      <c r="E45" s="284" t="s">
        <v>1092</v>
      </c>
      <c r="F45" s="285" t="s">
        <v>1093</v>
      </c>
      <c r="G45" s="289">
        <v>2167873</v>
      </c>
      <c r="H45" s="317" t="s">
        <v>1094</v>
      </c>
      <c r="I45" s="288" t="s">
        <v>1141</v>
      </c>
      <c r="J45" s="289">
        <v>0</v>
      </c>
      <c r="K45" s="321" t="s">
        <v>1095</v>
      </c>
      <c r="L45" s="332" t="s">
        <v>1096</v>
      </c>
      <c r="M45" s="323">
        <v>92</v>
      </c>
      <c r="N45" s="333" t="s">
        <v>1097</v>
      </c>
    </row>
    <row r="46" spans="1:14" ht="27" customHeight="1">
      <c r="A46" s="334"/>
      <c r="B46" s="334"/>
      <c r="C46" s="295" t="s">
        <v>1098</v>
      </c>
      <c r="D46" s="295" t="s">
        <v>942</v>
      </c>
      <c r="E46" s="295" t="s">
        <v>1014</v>
      </c>
      <c r="F46" s="307" t="s">
        <v>1014</v>
      </c>
      <c r="G46" s="296">
        <f>SUM(G45)</f>
        <v>2167873</v>
      </c>
      <c r="H46" s="297" t="s">
        <v>1099</v>
      </c>
      <c r="I46" s="298"/>
      <c r="J46" s="296">
        <f>SUM(J45)</f>
        <v>0</v>
      </c>
      <c r="K46" s="335"/>
      <c r="L46" s="336"/>
      <c r="M46" s="337"/>
      <c r="N46" s="337"/>
    </row>
    <row r="47" spans="1:14" ht="90" customHeight="1">
      <c r="A47" s="338"/>
      <c r="B47" s="338"/>
      <c r="C47" s="284" t="s">
        <v>1108</v>
      </c>
      <c r="D47" s="284" t="s">
        <v>1109</v>
      </c>
      <c r="E47" s="284" t="s">
        <v>946</v>
      </c>
      <c r="F47" s="284" t="s">
        <v>947</v>
      </c>
      <c r="G47" s="320">
        <v>18780</v>
      </c>
      <c r="H47" s="304" t="s">
        <v>1110</v>
      </c>
      <c r="I47" s="288" t="s">
        <v>1142</v>
      </c>
      <c r="J47" s="320">
        <v>0</v>
      </c>
      <c r="K47" s="321" t="s">
        <v>1111</v>
      </c>
      <c r="L47" s="332" t="s">
        <v>1112</v>
      </c>
      <c r="M47" s="323">
        <v>158</v>
      </c>
      <c r="N47" s="339" t="s">
        <v>1113</v>
      </c>
    </row>
    <row r="48" spans="1:14" ht="63.75" customHeight="1" hidden="1">
      <c r="A48" s="340"/>
      <c r="B48" s="340"/>
      <c r="C48" s="295" t="s">
        <v>951</v>
      </c>
      <c r="D48" s="295" t="s">
        <v>942</v>
      </c>
      <c r="E48" s="295" t="s">
        <v>1014</v>
      </c>
      <c r="F48" s="295" t="s">
        <v>1014</v>
      </c>
      <c r="G48" s="296">
        <f>G47</f>
        <v>18780</v>
      </c>
      <c r="H48" s="297" t="s">
        <v>952</v>
      </c>
      <c r="I48" s="298"/>
      <c r="J48" s="296">
        <f>J47</f>
        <v>0</v>
      </c>
      <c r="K48" s="336"/>
      <c r="L48" s="336"/>
      <c r="M48" s="337"/>
      <c r="N48" s="337"/>
    </row>
    <row r="49" spans="1:14" ht="68.25" customHeight="1">
      <c r="A49" s="341"/>
      <c r="B49" s="341"/>
      <c r="C49" s="284" t="s">
        <v>953</v>
      </c>
      <c r="D49" s="284" t="s">
        <v>727</v>
      </c>
      <c r="E49" s="284" t="s">
        <v>954</v>
      </c>
      <c r="F49" s="284" t="s">
        <v>955</v>
      </c>
      <c r="G49" s="289">
        <v>30000</v>
      </c>
      <c r="H49" s="304" t="s">
        <v>1143</v>
      </c>
      <c r="I49" s="288" t="s">
        <v>1596</v>
      </c>
      <c r="J49" s="289">
        <v>30000</v>
      </c>
      <c r="K49" s="321" t="s">
        <v>1144</v>
      </c>
      <c r="L49" s="322" t="s">
        <v>1145</v>
      </c>
      <c r="M49" s="323">
        <v>198</v>
      </c>
      <c r="N49" s="323" t="s">
        <v>1146</v>
      </c>
    </row>
    <row r="50" spans="1:14" ht="71.25" customHeight="1">
      <c r="A50" s="341"/>
      <c r="B50" s="341"/>
      <c r="C50" s="284" t="s">
        <v>953</v>
      </c>
      <c r="D50" s="284" t="s">
        <v>727</v>
      </c>
      <c r="E50" s="284" t="s">
        <v>954</v>
      </c>
      <c r="F50" s="284" t="s">
        <v>955</v>
      </c>
      <c r="G50" s="289">
        <v>30000</v>
      </c>
      <c r="H50" s="304" t="s">
        <v>1147</v>
      </c>
      <c r="I50" s="288" t="s">
        <v>1596</v>
      </c>
      <c r="J50" s="289">
        <v>30000</v>
      </c>
      <c r="K50" s="321" t="s">
        <v>1148</v>
      </c>
      <c r="L50" s="322" t="s">
        <v>1149</v>
      </c>
      <c r="M50" s="323">
        <v>237</v>
      </c>
      <c r="N50" s="323" t="s">
        <v>1150</v>
      </c>
    </row>
    <row r="51" spans="1:14" ht="69.75" customHeight="1">
      <c r="A51" s="341"/>
      <c r="B51" s="341"/>
      <c r="C51" s="284" t="s">
        <v>953</v>
      </c>
      <c r="D51" s="284" t="s">
        <v>727</v>
      </c>
      <c r="E51" s="284" t="s">
        <v>954</v>
      </c>
      <c r="F51" s="284" t="s">
        <v>955</v>
      </c>
      <c r="G51" s="289">
        <v>30000</v>
      </c>
      <c r="H51" s="304" t="s">
        <v>1151</v>
      </c>
      <c r="I51" s="288" t="s">
        <v>1596</v>
      </c>
      <c r="J51" s="289">
        <v>30000</v>
      </c>
      <c r="K51" s="321" t="s">
        <v>1152</v>
      </c>
      <c r="L51" s="322" t="s">
        <v>1153</v>
      </c>
      <c r="M51" s="323">
        <v>261</v>
      </c>
      <c r="N51" s="323" t="s">
        <v>1154</v>
      </c>
    </row>
    <row r="52" spans="1:14" ht="66" customHeight="1">
      <c r="A52" s="341"/>
      <c r="B52" s="341"/>
      <c r="C52" s="284" t="s">
        <v>953</v>
      </c>
      <c r="D52" s="284" t="s">
        <v>727</v>
      </c>
      <c r="E52" s="284" t="s">
        <v>954</v>
      </c>
      <c r="F52" s="284" t="s">
        <v>955</v>
      </c>
      <c r="G52" s="289">
        <v>120000</v>
      </c>
      <c r="H52" s="304" t="s">
        <v>1155</v>
      </c>
      <c r="I52" s="288" t="s">
        <v>1596</v>
      </c>
      <c r="J52" s="289">
        <v>120000</v>
      </c>
      <c r="K52" s="321" t="s">
        <v>1156</v>
      </c>
      <c r="L52" s="322" t="s">
        <v>1157</v>
      </c>
      <c r="M52" s="323">
        <v>266</v>
      </c>
      <c r="N52" s="323" t="s">
        <v>1158</v>
      </c>
    </row>
    <row r="53" spans="1:14" ht="70.5" customHeight="1">
      <c r="A53" s="341"/>
      <c r="B53" s="341"/>
      <c r="C53" s="284" t="s">
        <v>953</v>
      </c>
      <c r="D53" s="284" t="s">
        <v>727</v>
      </c>
      <c r="E53" s="284" t="s">
        <v>954</v>
      </c>
      <c r="F53" s="284" t="s">
        <v>955</v>
      </c>
      <c r="G53" s="289">
        <v>90000</v>
      </c>
      <c r="H53" s="304" t="s">
        <v>1159</v>
      </c>
      <c r="I53" s="288" t="s">
        <v>1596</v>
      </c>
      <c r="J53" s="289">
        <v>90000</v>
      </c>
      <c r="K53" s="321" t="s">
        <v>1160</v>
      </c>
      <c r="L53" s="322" t="s">
        <v>1161</v>
      </c>
      <c r="M53" s="323">
        <v>269</v>
      </c>
      <c r="N53" s="323" t="s">
        <v>1162</v>
      </c>
    </row>
    <row r="54" spans="1:14" ht="30.75" customHeight="1">
      <c r="A54" s="334"/>
      <c r="B54" s="334"/>
      <c r="C54" s="295" t="s">
        <v>1088</v>
      </c>
      <c r="D54" s="295" t="s">
        <v>942</v>
      </c>
      <c r="E54" s="295" t="s">
        <v>1014</v>
      </c>
      <c r="F54" s="307" t="s">
        <v>1014</v>
      </c>
      <c r="G54" s="296">
        <f>SUM(G49:G53)</f>
        <v>300000</v>
      </c>
      <c r="H54" s="297" t="s">
        <v>1089</v>
      </c>
      <c r="I54" s="298"/>
      <c r="J54" s="296">
        <f>SUM(J49:J53)</f>
        <v>300000</v>
      </c>
      <c r="K54" s="308"/>
      <c r="L54" s="299"/>
      <c r="M54" s="300"/>
      <c r="N54" s="309"/>
    </row>
    <row r="55" spans="1:14" ht="28.5" customHeight="1">
      <c r="A55" s="342"/>
      <c r="B55" s="342"/>
      <c r="C55" s="325"/>
      <c r="D55" s="325"/>
      <c r="E55" s="325"/>
      <c r="F55" s="325"/>
      <c r="G55" s="312">
        <f>G48+G54+G46</f>
        <v>2486653</v>
      </c>
      <c r="H55" s="326" t="s">
        <v>1163</v>
      </c>
      <c r="I55" s="325"/>
      <c r="J55" s="312">
        <f>J48+J54+J46</f>
        <v>300000</v>
      </c>
      <c r="K55" s="327"/>
      <c r="L55" s="328"/>
      <c r="M55" s="315"/>
      <c r="N55" s="316"/>
    </row>
    <row r="56" spans="1:14" ht="30" customHeight="1">
      <c r="A56" s="329">
        <v>7000000</v>
      </c>
      <c r="B56" s="329">
        <v>10000000</v>
      </c>
      <c r="C56" s="325"/>
      <c r="D56" s="325"/>
      <c r="E56" s="325"/>
      <c r="F56" s="325"/>
      <c r="G56" s="312">
        <f>G44+G55</f>
        <v>3780023</v>
      </c>
      <c r="H56" s="326" t="s">
        <v>1164</v>
      </c>
      <c r="I56" s="325"/>
      <c r="J56" s="312">
        <f>J44+J55</f>
        <v>3780023</v>
      </c>
      <c r="K56" s="327"/>
      <c r="L56" s="328"/>
      <c r="M56" s="315"/>
      <c r="N56" s="316"/>
    </row>
    <row r="57" spans="1:14" ht="246.75" customHeight="1">
      <c r="A57" s="343"/>
      <c r="B57" s="343"/>
      <c r="C57" s="284" t="s">
        <v>935</v>
      </c>
      <c r="D57" s="284" t="s">
        <v>1005</v>
      </c>
      <c r="E57" s="284" t="s">
        <v>913</v>
      </c>
      <c r="F57" s="285" t="s">
        <v>936</v>
      </c>
      <c r="G57" s="344">
        <v>99960</v>
      </c>
      <c r="H57" s="287" t="s">
        <v>1165</v>
      </c>
      <c r="I57" s="288" t="s">
        <v>1596</v>
      </c>
      <c r="J57" s="344">
        <v>100000</v>
      </c>
      <c r="K57" s="345" t="s">
        <v>1166</v>
      </c>
      <c r="L57" s="346" t="s">
        <v>1167</v>
      </c>
      <c r="M57" s="323">
        <v>289</v>
      </c>
      <c r="N57" s="323" t="s">
        <v>1168</v>
      </c>
    </row>
    <row r="58" spans="1:14" ht="83.25" customHeight="1">
      <c r="A58" s="343"/>
      <c r="B58" s="343"/>
      <c r="C58" s="284" t="s">
        <v>935</v>
      </c>
      <c r="D58" s="284" t="s">
        <v>1005</v>
      </c>
      <c r="E58" s="284" t="s">
        <v>913</v>
      </c>
      <c r="F58" s="285" t="s">
        <v>936</v>
      </c>
      <c r="G58" s="344">
        <v>0</v>
      </c>
      <c r="H58" s="287" t="s">
        <v>1169</v>
      </c>
      <c r="I58" s="288" t="s">
        <v>1596</v>
      </c>
      <c r="J58" s="344">
        <v>30000</v>
      </c>
      <c r="K58" s="345" t="s">
        <v>1170</v>
      </c>
      <c r="L58" s="346" t="s">
        <v>1171</v>
      </c>
      <c r="M58" s="323">
        <v>299</v>
      </c>
      <c r="N58" s="323" t="s">
        <v>1172</v>
      </c>
    </row>
    <row r="59" spans="1:14" ht="33" customHeight="1">
      <c r="A59" s="294"/>
      <c r="B59" s="294"/>
      <c r="C59" s="295" t="s">
        <v>941</v>
      </c>
      <c r="D59" s="295" t="s">
        <v>942</v>
      </c>
      <c r="E59" s="295" t="s">
        <v>1014</v>
      </c>
      <c r="F59" s="295" t="s">
        <v>1014</v>
      </c>
      <c r="G59" s="296">
        <f>SUM(G57:G58)</f>
        <v>99960</v>
      </c>
      <c r="H59" s="297" t="s">
        <v>943</v>
      </c>
      <c r="I59" s="298"/>
      <c r="J59" s="296">
        <f>SUM(J57:J58)</f>
        <v>130000</v>
      </c>
      <c r="K59" s="336"/>
      <c r="L59" s="336"/>
      <c r="M59" s="337"/>
      <c r="N59" s="337"/>
    </row>
    <row r="60" spans="1:14" ht="101.25" customHeight="1">
      <c r="A60" s="319"/>
      <c r="B60" s="319"/>
      <c r="C60" s="284" t="s">
        <v>944</v>
      </c>
      <c r="D60" s="284" t="s">
        <v>1173</v>
      </c>
      <c r="E60" s="284" t="s">
        <v>946</v>
      </c>
      <c r="F60" s="284" t="s">
        <v>947</v>
      </c>
      <c r="G60" s="320">
        <v>30000</v>
      </c>
      <c r="H60" s="304" t="s">
        <v>1174</v>
      </c>
      <c r="I60" s="288" t="s">
        <v>756</v>
      </c>
      <c r="J60" s="320">
        <v>30000</v>
      </c>
      <c r="K60" s="321" t="s">
        <v>1175</v>
      </c>
      <c r="L60" s="332">
        <v>42311</v>
      </c>
      <c r="M60" s="323">
        <v>306</v>
      </c>
      <c r="N60" s="339" t="s">
        <v>1171</v>
      </c>
    </row>
    <row r="61" spans="1:14" ht="74.25" customHeight="1">
      <c r="A61" s="319"/>
      <c r="B61" s="319"/>
      <c r="C61" s="284" t="s">
        <v>953</v>
      </c>
      <c r="D61" s="284" t="s">
        <v>1176</v>
      </c>
      <c r="E61" s="284" t="s">
        <v>1177</v>
      </c>
      <c r="F61" s="284" t="s">
        <v>955</v>
      </c>
      <c r="G61" s="320">
        <v>5000</v>
      </c>
      <c r="H61" s="304" t="s">
        <v>1178</v>
      </c>
      <c r="I61" s="288" t="s">
        <v>756</v>
      </c>
      <c r="J61" s="320">
        <v>5000</v>
      </c>
      <c r="K61" s="321" t="s">
        <v>1179</v>
      </c>
      <c r="L61" s="332" t="s">
        <v>1180</v>
      </c>
      <c r="M61" s="323">
        <v>362</v>
      </c>
      <c r="N61" s="339" t="s">
        <v>1180</v>
      </c>
    </row>
    <row r="62" spans="1:14" ht="30" customHeight="1">
      <c r="A62" s="294"/>
      <c r="B62" s="294"/>
      <c r="C62" s="295" t="s">
        <v>951</v>
      </c>
      <c r="D62" s="295" t="s">
        <v>942</v>
      </c>
      <c r="E62" s="295" t="s">
        <v>1014</v>
      </c>
      <c r="F62" s="295" t="s">
        <v>1014</v>
      </c>
      <c r="G62" s="296">
        <f>SUM(G60:G61)</f>
        <v>35000</v>
      </c>
      <c r="H62" s="297" t="s">
        <v>952</v>
      </c>
      <c r="I62" s="298"/>
      <c r="J62" s="296">
        <f>SUM(J60:J61)</f>
        <v>35000</v>
      </c>
      <c r="K62" s="336"/>
      <c r="L62" s="336"/>
      <c r="M62" s="337"/>
      <c r="N62" s="337"/>
    </row>
    <row r="63" spans="1:14" ht="54.75" customHeight="1">
      <c r="A63" s="347"/>
      <c r="B63" s="347"/>
      <c r="C63" s="348" t="s">
        <v>1181</v>
      </c>
      <c r="D63" s="348" t="s">
        <v>1182</v>
      </c>
      <c r="E63" s="348" t="s">
        <v>1101</v>
      </c>
      <c r="F63" s="348" t="s">
        <v>1183</v>
      </c>
      <c r="G63" s="289">
        <v>373014.66</v>
      </c>
      <c r="H63" s="349" t="s">
        <v>1184</v>
      </c>
      <c r="I63" s="350" t="s">
        <v>779</v>
      </c>
      <c r="J63" s="289">
        <v>480000</v>
      </c>
      <c r="K63" s="345" t="s">
        <v>1619</v>
      </c>
      <c r="L63" s="346" t="s">
        <v>1185</v>
      </c>
      <c r="M63" s="345" t="s">
        <v>1186</v>
      </c>
      <c r="N63" s="346" t="s">
        <v>1187</v>
      </c>
    </row>
    <row r="64" spans="1:14" ht="24" customHeight="1">
      <c r="A64" s="294"/>
      <c r="B64" s="294"/>
      <c r="C64" s="295" t="s">
        <v>1188</v>
      </c>
      <c r="D64" s="295" t="s">
        <v>942</v>
      </c>
      <c r="E64" s="295" t="s">
        <v>1014</v>
      </c>
      <c r="F64" s="295" t="s">
        <v>1014</v>
      </c>
      <c r="G64" s="296">
        <f>SUM(G63)</f>
        <v>373014.66</v>
      </c>
      <c r="H64" s="297" t="s">
        <v>1189</v>
      </c>
      <c r="I64" s="298"/>
      <c r="J64" s="296">
        <f>SUM(J63)</f>
        <v>480000</v>
      </c>
      <c r="K64" s="335"/>
      <c r="L64" s="351"/>
      <c r="M64" s="337"/>
      <c r="N64" s="337"/>
    </row>
    <row r="65" spans="1:14" ht="68.25" customHeight="1">
      <c r="A65" s="352"/>
      <c r="B65" s="352"/>
      <c r="C65" s="284" t="s">
        <v>953</v>
      </c>
      <c r="D65" s="284" t="s">
        <v>727</v>
      </c>
      <c r="E65" s="284" t="s">
        <v>954</v>
      </c>
      <c r="F65" s="284" t="s">
        <v>955</v>
      </c>
      <c r="G65" s="289">
        <v>165000</v>
      </c>
      <c r="H65" s="353" t="s">
        <v>1190</v>
      </c>
      <c r="I65" s="288" t="s">
        <v>1596</v>
      </c>
      <c r="J65" s="289">
        <v>165000</v>
      </c>
      <c r="K65" s="345" t="s">
        <v>1191</v>
      </c>
      <c r="L65" s="354">
        <v>42279</v>
      </c>
      <c r="M65" s="339">
        <v>277</v>
      </c>
      <c r="N65" s="339">
        <v>42275</v>
      </c>
    </row>
    <row r="66" spans="1:14" ht="66.75" customHeight="1">
      <c r="A66" s="352"/>
      <c r="B66" s="352"/>
      <c r="C66" s="284" t="s">
        <v>953</v>
      </c>
      <c r="D66" s="284" t="s">
        <v>727</v>
      </c>
      <c r="E66" s="284" t="s">
        <v>954</v>
      </c>
      <c r="F66" s="284" t="s">
        <v>955</v>
      </c>
      <c r="G66" s="289">
        <v>120000</v>
      </c>
      <c r="H66" s="353" t="s">
        <v>1192</v>
      </c>
      <c r="I66" s="288" t="s">
        <v>1596</v>
      </c>
      <c r="J66" s="289">
        <v>120000</v>
      </c>
      <c r="K66" s="345" t="s">
        <v>1193</v>
      </c>
      <c r="L66" s="346" t="s">
        <v>1194</v>
      </c>
      <c r="M66" s="323">
        <v>298</v>
      </c>
      <c r="N66" s="323" t="s">
        <v>1195</v>
      </c>
    </row>
    <row r="67" spans="1:14" ht="66.75" customHeight="1">
      <c r="A67" s="352"/>
      <c r="B67" s="352"/>
      <c r="C67" s="284" t="s">
        <v>953</v>
      </c>
      <c r="D67" s="284" t="s">
        <v>727</v>
      </c>
      <c r="E67" s="284" t="s">
        <v>954</v>
      </c>
      <c r="F67" s="284" t="s">
        <v>955</v>
      </c>
      <c r="G67" s="289">
        <v>30000</v>
      </c>
      <c r="H67" s="353" t="s">
        <v>1196</v>
      </c>
      <c r="I67" s="288" t="s">
        <v>1596</v>
      </c>
      <c r="J67" s="289">
        <v>30000</v>
      </c>
      <c r="K67" s="345" t="s">
        <v>1197</v>
      </c>
      <c r="L67" s="346" t="s">
        <v>1198</v>
      </c>
      <c r="M67" s="323">
        <v>336</v>
      </c>
      <c r="N67" s="323" t="s">
        <v>1199</v>
      </c>
    </row>
    <row r="68" spans="1:14" ht="66.75" customHeight="1">
      <c r="A68" s="352"/>
      <c r="B68" s="352"/>
      <c r="C68" s="284" t="s">
        <v>953</v>
      </c>
      <c r="D68" s="284" t="s">
        <v>727</v>
      </c>
      <c r="E68" s="284" t="s">
        <v>954</v>
      </c>
      <c r="F68" s="284" t="s">
        <v>955</v>
      </c>
      <c r="G68" s="289">
        <v>30000</v>
      </c>
      <c r="H68" s="353" t="s">
        <v>1200</v>
      </c>
      <c r="I68" s="288" t="s">
        <v>1596</v>
      </c>
      <c r="J68" s="289">
        <v>30000</v>
      </c>
      <c r="K68" s="345" t="s">
        <v>1201</v>
      </c>
      <c r="L68" s="346">
        <v>2015</v>
      </c>
      <c r="M68" s="323">
        <v>336</v>
      </c>
      <c r="N68" s="323" t="s">
        <v>1199</v>
      </c>
    </row>
    <row r="69" spans="1:14" ht="64.5" customHeight="1">
      <c r="A69" s="352"/>
      <c r="B69" s="352"/>
      <c r="C69" s="284" t="s">
        <v>953</v>
      </c>
      <c r="D69" s="284" t="s">
        <v>727</v>
      </c>
      <c r="E69" s="284" t="s">
        <v>954</v>
      </c>
      <c r="F69" s="284" t="s">
        <v>955</v>
      </c>
      <c r="G69" s="289">
        <v>30000</v>
      </c>
      <c r="H69" s="353" t="s">
        <v>1202</v>
      </c>
      <c r="I69" s="288" t="s">
        <v>1596</v>
      </c>
      <c r="J69" s="289">
        <v>30000</v>
      </c>
      <c r="K69" s="345" t="s">
        <v>1203</v>
      </c>
      <c r="L69" s="346" t="s">
        <v>1204</v>
      </c>
      <c r="M69" s="323">
        <v>340</v>
      </c>
      <c r="N69" s="323" t="s">
        <v>1198</v>
      </c>
    </row>
    <row r="70" spans="1:14" ht="27" customHeight="1">
      <c r="A70" s="294"/>
      <c r="B70" s="294"/>
      <c r="C70" s="295" t="s">
        <v>1088</v>
      </c>
      <c r="D70" s="295" t="s">
        <v>942</v>
      </c>
      <c r="E70" s="295" t="s">
        <v>1014</v>
      </c>
      <c r="F70" s="295" t="s">
        <v>1014</v>
      </c>
      <c r="G70" s="296">
        <f>SUM(G65:G69)</f>
        <v>375000</v>
      </c>
      <c r="H70" s="297" t="s">
        <v>1089</v>
      </c>
      <c r="I70" s="298"/>
      <c r="J70" s="296">
        <f>SUM(J65:J69)</f>
        <v>375000</v>
      </c>
      <c r="K70" s="308"/>
      <c r="L70" s="355"/>
      <c r="M70" s="300"/>
      <c r="N70" s="309"/>
    </row>
    <row r="71" spans="1:14" ht="24" customHeight="1">
      <c r="A71" s="324"/>
      <c r="B71" s="324"/>
      <c r="C71" s="325"/>
      <c r="D71" s="325"/>
      <c r="E71" s="325"/>
      <c r="F71" s="325"/>
      <c r="G71" s="312">
        <f>G59+G62+G64+G70</f>
        <v>882974.6599999999</v>
      </c>
      <c r="H71" s="326" t="s">
        <v>1205</v>
      </c>
      <c r="I71" s="325"/>
      <c r="J71" s="312">
        <f>J59+J62+J64+J70</f>
        <v>1020000</v>
      </c>
      <c r="K71" s="327"/>
      <c r="L71" s="328"/>
      <c r="M71" s="315"/>
      <c r="N71" s="316"/>
    </row>
    <row r="72" spans="1:14" ht="24" customHeight="1">
      <c r="A72" s="329">
        <v>7000000</v>
      </c>
      <c r="B72" s="329">
        <v>10000000</v>
      </c>
      <c r="C72" s="356"/>
      <c r="D72" s="356"/>
      <c r="E72" s="356"/>
      <c r="F72" s="356"/>
      <c r="G72" s="356">
        <f>G56+G71</f>
        <v>4662997.66</v>
      </c>
      <c r="H72" s="356" t="s">
        <v>1206</v>
      </c>
      <c r="I72" s="356"/>
      <c r="J72" s="356">
        <f>J56+J71</f>
        <v>4800023</v>
      </c>
      <c r="K72" s="357"/>
      <c r="L72" s="358"/>
      <c r="M72" s="359"/>
      <c r="N72" s="360"/>
    </row>
    <row r="73" spans="1:14" ht="32.25" customHeight="1">
      <c r="A73" s="361"/>
      <c r="B73" s="362"/>
      <c r="C73" s="363"/>
      <c r="D73" s="363"/>
      <c r="E73" s="363"/>
      <c r="F73" s="363"/>
      <c r="G73" s="364"/>
      <c r="H73" s="365"/>
      <c r="I73" s="363"/>
      <c r="J73" s="366"/>
      <c r="K73" s="367"/>
      <c r="L73" s="368"/>
      <c r="M73" s="369"/>
      <c r="N73" s="369"/>
    </row>
    <row r="74" spans="1:14" ht="21" customHeight="1">
      <c r="A74" s="361"/>
      <c r="B74" s="362"/>
      <c r="C74" s="362"/>
      <c r="D74" s="362"/>
      <c r="E74" s="362"/>
      <c r="F74" s="362"/>
      <c r="G74" s="370"/>
      <c r="H74" s="371"/>
      <c r="I74" s="371"/>
      <c r="J74" s="372"/>
      <c r="K74" s="373"/>
      <c r="L74" s="368"/>
      <c r="M74" s="373"/>
      <c r="N74" s="373"/>
    </row>
    <row r="75" spans="1:12" ht="18" customHeight="1">
      <c r="A75" s="374"/>
      <c r="B75" s="375"/>
      <c r="C75" s="375"/>
      <c r="D75" s="376"/>
      <c r="E75" s="375"/>
      <c r="F75" s="377"/>
      <c r="G75" s="378"/>
      <c r="H75" s="379"/>
      <c r="I75" s="380">
        <f>B72-J72</f>
        <v>5199977</v>
      </c>
      <c r="J75" s="381"/>
      <c r="L75" s="368"/>
    </row>
    <row r="76" spans="1:12" ht="22.5" customHeight="1">
      <c r="A76" s="382"/>
      <c r="B76" s="383"/>
      <c r="C76" s="383"/>
      <c r="D76" s="383"/>
      <c r="E76" s="383"/>
      <c r="F76" s="384"/>
      <c r="G76" s="385"/>
      <c r="H76" s="386"/>
      <c r="I76" s="387"/>
      <c r="J76" s="388"/>
      <c r="K76" s="55"/>
      <c r="L76" s="55"/>
    </row>
    <row r="77" spans="1:12" ht="44.25" customHeight="1">
      <c r="A77" s="703"/>
      <c r="B77" s="703"/>
      <c r="C77" s="703"/>
      <c r="D77" s="703"/>
      <c r="E77" s="703"/>
      <c r="F77" s="389"/>
      <c r="G77" s="703"/>
      <c r="H77" s="703"/>
      <c r="I77" s="390"/>
      <c r="J77" s="55"/>
      <c r="K77" s="55"/>
      <c r="L77" s="55"/>
    </row>
    <row r="78" spans="1:13" ht="21" customHeight="1">
      <c r="A78" s="391"/>
      <c r="B78" s="391"/>
      <c r="C78" s="391"/>
      <c r="D78" s="391"/>
      <c r="E78" s="391"/>
      <c r="F78" s="392"/>
      <c r="G78" s="393"/>
      <c r="H78" s="393"/>
      <c r="I78" s="394"/>
      <c r="J78" s="55"/>
      <c r="K78" s="55"/>
      <c r="L78" s="55"/>
      <c r="M78" s="395"/>
    </row>
    <row r="79" spans="1:12" ht="17.25" customHeight="1">
      <c r="A79" s="396"/>
      <c r="B79" s="397"/>
      <c r="C79" s="397"/>
      <c r="D79" s="412"/>
      <c r="E79" s="412"/>
      <c r="F79" s="413"/>
      <c r="G79" s="414"/>
      <c r="H79" s="396"/>
      <c r="I79" s="395"/>
      <c r="J79" s="55"/>
      <c r="K79" s="55"/>
      <c r="L79" s="55"/>
    </row>
    <row r="80" spans="1:11" ht="28.5" customHeight="1">
      <c r="A80" s="260"/>
      <c r="C80" s="398"/>
      <c r="D80" s="399"/>
      <c r="E80" s="398"/>
      <c r="F80" s="398"/>
      <c r="G80" s="399"/>
      <c r="H80" s="400"/>
      <c r="I80" s="399"/>
      <c r="J80" s="373"/>
      <c r="K80" s="263"/>
    </row>
    <row r="81" spans="1:11" ht="25.5" customHeight="1">
      <c r="A81" s="260"/>
      <c r="C81" s="398"/>
      <c r="D81" s="399"/>
      <c r="E81" s="398"/>
      <c r="F81" s="398"/>
      <c r="G81" s="399"/>
      <c r="H81" s="398"/>
      <c r="I81" s="399"/>
      <c r="J81" s="395"/>
      <c r="K81" s="263"/>
    </row>
    <row r="82" spans="1:11" ht="25.5" customHeight="1">
      <c r="A82" s="260"/>
      <c r="C82" s="398"/>
      <c r="D82" s="399"/>
      <c r="E82" s="398"/>
      <c r="F82" s="398"/>
      <c r="G82" s="399"/>
      <c r="H82" s="401"/>
      <c r="I82" s="402"/>
      <c r="J82" s="395"/>
      <c r="K82" s="263"/>
    </row>
    <row r="83" spans="1:11" ht="25.5" customHeight="1">
      <c r="A83" s="260"/>
      <c r="C83" s="398"/>
      <c r="D83" s="399"/>
      <c r="E83" s="398"/>
      <c r="F83" s="398"/>
      <c r="G83" s="399"/>
      <c r="H83" s="401"/>
      <c r="I83" s="399"/>
      <c r="J83" s="395"/>
      <c r="K83" s="263"/>
    </row>
    <row r="84" spans="1:11" ht="24" customHeight="1">
      <c r="A84" s="260"/>
      <c r="C84" s="398"/>
      <c r="D84" s="399"/>
      <c r="E84" s="398"/>
      <c r="F84" s="398"/>
      <c r="G84" s="399"/>
      <c r="H84" s="401"/>
      <c r="I84" s="399"/>
      <c r="J84" s="395"/>
      <c r="K84" s="263"/>
    </row>
    <row r="85" spans="1:11" ht="34.5" customHeight="1">
      <c r="A85" s="260"/>
      <c r="C85" s="400"/>
      <c r="D85" s="403"/>
      <c r="E85" s="400"/>
      <c r="F85" s="408"/>
      <c r="G85" s="415"/>
      <c r="H85" s="400"/>
      <c r="I85" s="404"/>
      <c r="J85" s="395"/>
      <c r="K85" s="263"/>
    </row>
    <row r="86" spans="1:10" ht="51.75" customHeight="1">
      <c r="A86" s="260"/>
      <c r="B86" s="405"/>
      <c r="C86" s="405"/>
      <c r="D86" s="416"/>
      <c r="E86" s="416"/>
      <c r="F86" s="406"/>
      <c r="G86" s="407"/>
      <c r="H86" s="408"/>
      <c r="I86" s="409"/>
      <c r="J86" s="395"/>
    </row>
    <row r="87" spans="1:10" ht="53.25" customHeight="1">
      <c r="A87" s="260"/>
      <c r="B87" s="405"/>
      <c r="C87" s="405"/>
      <c r="D87" s="405"/>
      <c r="E87" s="405"/>
      <c r="F87" s="261"/>
      <c r="G87" s="260"/>
      <c r="H87" s="408"/>
      <c r="I87" s="409"/>
      <c r="J87" s="395"/>
    </row>
    <row r="88" spans="1:10" ht="52.5" customHeight="1">
      <c r="A88" s="260"/>
      <c r="B88" s="405"/>
      <c r="C88" s="405"/>
      <c r="D88" s="405"/>
      <c r="E88" s="405"/>
      <c r="F88" s="261"/>
      <c r="G88" s="260"/>
      <c r="H88" s="408"/>
      <c r="I88" s="409"/>
      <c r="J88" s="395"/>
    </row>
    <row r="89" spans="1:10" ht="51" customHeight="1">
      <c r="A89" s="260"/>
      <c r="B89" s="405"/>
      <c r="C89" s="405"/>
      <c r="D89" s="405"/>
      <c r="E89" s="405"/>
      <c r="F89" s="261"/>
      <c r="G89" s="260"/>
      <c r="I89" s="260"/>
      <c r="J89" s="395"/>
    </row>
    <row r="90" spans="3:10" ht="36" customHeight="1">
      <c r="C90" s="405"/>
      <c r="D90" s="405"/>
      <c r="E90" s="405"/>
      <c r="F90" s="405"/>
      <c r="I90" s="260"/>
      <c r="J90" s="408"/>
    </row>
    <row r="91" spans="3:10" ht="22.5" customHeight="1">
      <c r="C91" s="405"/>
      <c r="D91" s="405"/>
      <c r="E91" s="405"/>
      <c r="F91" s="405"/>
      <c r="I91" s="260"/>
      <c r="J91" s="260"/>
    </row>
    <row r="92" spans="3:10" ht="24" customHeight="1">
      <c r="C92" s="405"/>
      <c r="D92" s="405"/>
      <c r="E92" s="405"/>
      <c r="F92" s="405"/>
      <c r="I92" s="260"/>
      <c r="J92" s="260"/>
    </row>
    <row r="93" spans="3:10" ht="21" customHeight="1">
      <c r="C93" s="405"/>
      <c r="D93" s="405"/>
      <c r="E93" s="405"/>
      <c r="F93" s="405"/>
      <c r="I93" s="260"/>
      <c r="J93" s="260"/>
    </row>
    <row r="94" spans="3:10" ht="48.75" customHeight="1">
      <c r="C94" s="405"/>
      <c r="D94" s="405"/>
      <c r="E94" s="405"/>
      <c r="F94" s="405"/>
      <c r="I94" s="260"/>
      <c r="J94" s="260"/>
    </row>
    <row r="95" spans="3:10" ht="48.75" customHeight="1">
      <c r="C95" s="405"/>
      <c r="D95" s="405"/>
      <c r="E95" s="405"/>
      <c r="F95" s="405"/>
      <c r="I95" s="260"/>
      <c r="J95"/>
    </row>
    <row r="96" spans="3:10" ht="28.5" customHeight="1">
      <c r="C96" s="405"/>
      <c r="D96" s="405"/>
      <c r="E96" s="405"/>
      <c r="F96" s="405"/>
      <c r="I96" s="260"/>
      <c r="J96" s="260"/>
    </row>
    <row r="97" spans="3:10" ht="39" customHeight="1">
      <c r="C97" s="405"/>
      <c r="D97" s="405"/>
      <c r="E97" s="405"/>
      <c r="F97" s="405"/>
      <c r="I97" s="260"/>
      <c r="J97" s="260"/>
    </row>
    <row r="98" spans="3:10" ht="39" customHeight="1">
      <c r="C98" s="405"/>
      <c r="D98" s="405"/>
      <c r="E98" s="405"/>
      <c r="F98" s="405"/>
      <c r="I98" s="260"/>
      <c r="J98" s="260"/>
    </row>
    <row r="99" spans="3:10" ht="39" customHeight="1">
      <c r="C99" s="405"/>
      <c r="D99" s="405"/>
      <c r="E99" s="405"/>
      <c r="F99" s="405"/>
      <c r="I99" s="260"/>
      <c r="J99" s="260"/>
    </row>
    <row r="100" spans="3:10" ht="37.5" customHeight="1">
      <c r="C100" s="405"/>
      <c r="D100" s="405"/>
      <c r="E100" s="405"/>
      <c r="F100" s="405"/>
      <c r="I100" s="260"/>
      <c r="J100" s="260"/>
    </row>
    <row r="101" spans="3:10" ht="37.5" customHeight="1">
      <c r="C101" s="405"/>
      <c r="D101" s="405"/>
      <c r="E101" s="405"/>
      <c r="F101" s="405"/>
      <c r="I101" s="260"/>
      <c r="J101" s="260"/>
    </row>
    <row r="102" spans="3:10" ht="37.5" customHeight="1">
      <c r="C102" s="405"/>
      <c r="D102" s="405"/>
      <c r="E102" s="405"/>
      <c r="F102" s="405"/>
      <c r="I102" s="260"/>
      <c r="J102" s="260"/>
    </row>
    <row r="103" spans="3:10" ht="37.5" customHeight="1">
      <c r="C103" s="405"/>
      <c r="D103" s="405"/>
      <c r="E103" s="405"/>
      <c r="F103" s="405"/>
      <c r="I103" s="260"/>
      <c r="J103" s="260"/>
    </row>
    <row r="104" spans="3:10" ht="66.75" customHeight="1">
      <c r="C104" s="405"/>
      <c r="D104" s="405"/>
      <c r="E104" s="405"/>
      <c r="F104" s="405"/>
      <c r="I104" s="260"/>
      <c r="J104" s="260"/>
    </row>
    <row r="105" spans="3:10" ht="28.5" customHeight="1">
      <c r="C105" s="405"/>
      <c r="D105" s="405"/>
      <c r="E105" s="405"/>
      <c r="F105" s="405"/>
      <c r="I105" s="260"/>
      <c r="J105" s="260"/>
    </row>
  </sheetData>
  <sheetProtection/>
  <mergeCells count="16">
    <mergeCell ref="J12:J13"/>
    <mergeCell ref="H27:I27"/>
    <mergeCell ref="A7:J7"/>
    <mergeCell ref="A8:J8"/>
    <mergeCell ref="A9:J9"/>
    <mergeCell ref="A12:A13"/>
    <mergeCell ref="B12:B13"/>
    <mergeCell ref="C12:C13"/>
    <mergeCell ref="D12:D13"/>
    <mergeCell ref="E12:E13"/>
    <mergeCell ref="A77:E77"/>
    <mergeCell ref="G77:H77"/>
    <mergeCell ref="H12:H13"/>
    <mergeCell ref="I12:I13"/>
    <mergeCell ref="F12:F13"/>
    <mergeCell ref="G12:G13"/>
  </mergeCells>
  <printOptions/>
  <pageMargins left="0.75" right="0.75" top="1" bottom="1" header="0.5" footer="0.5"/>
  <pageSetup firstPageNumber="61" useFirstPageNumber="1" fitToHeight="0" fitToWidth="1" horizontalDpi="600" verticalDpi="600" orientation="landscape" paperSize="9" scale="5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9"/>
  <sheetViews>
    <sheetView zoomScalePageLayoutView="0" workbookViewId="0" topLeftCell="A1">
      <selection activeCell="D3" sqref="D3"/>
    </sheetView>
  </sheetViews>
  <sheetFormatPr defaultColWidth="9.375" defaultRowHeight="12.75"/>
  <cols>
    <col min="1" max="1" width="61.375" style="558" customWidth="1"/>
    <col min="2" max="2" width="15.125" style="558" customWidth="1"/>
    <col min="3" max="3" width="24.125" style="557" customWidth="1"/>
    <col min="4" max="4" width="22.50390625" style="472" customWidth="1"/>
    <col min="5" max="16384" width="9.375" style="473" customWidth="1"/>
  </cols>
  <sheetData>
    <row r="1" spans="1:4" ht="15">
      <c r="A1" s="466"/>
      <c r="B1" s="564"/>
      <c r="C1" s="466"/>
      <c r="D1" s="470" t="s">
        <v>322</v>
      </c>
    </row>
    <row r="2" spans="1:4" ht="13.5">
      <c r="A2" s="474"/>
      <c r="B2" s="565"/>
      <c r="C2" s="474"/>
      <c r="D2" s="476" t="s">
        <v>772</v>
      </c>
    </row>
    <row r="3" spans="1:4" ht="15">
      <c r="A3" s="478"/>
      <c r="B3" s="566"/>
      <c r="C3" s="478"/>
      <c r="D3" s="57" t="s">
        <v>1737</v>
      </c>
    </row>
    <row r="4" spans="1:4" ht="13.5">
      <c r="A4" s="474"/>
      <c r="B4" s="565"/>
      <c r="C4" s="474"/>
      <c r="D4" s="477"/>
    </row>
    <row r="5" spans="1:4" ht="13.5">
      <c r="A5" s="611" t="s">
        <v>323</v>
      </c>
      <c r="B5" s="611"/>
      <c r="C5" s="611"/>
      <c r="D5" s="611"/>
    </row>
    <row r="6" spans="1:4" ht="13.5">
      <c r="A6" s="611" t="s">
        <v>324</v>
      </c>
      <c r="B6" s="611"/>
      <c r="C6" s="611"/>
      <c r="D6" s="611"/>
    </row>
    <row r="7" spans="1:4" ht="13.5">
      <c r="A7" s="611" t="s">
        <v>325</v>
      </c>
      <c r="B7" s="611"/>
      <c r="C7" s="611"/>
      <c r="D7" s="611"/>
    </row>
    <row r="8" spans="1:5" ht="14.25" thickBot="1">
      <c r="A8" s="482"/>
      <c r="B8" s="567"/>
      <c r="C8" s="482"/>
      <c r="D8" s="477"/>
      <c r="E8" s="568"/>
    </row>
    <row r="9" spans="1:4" ht="26.25">
      <c r="A9" s="569" t="s">
        <v>1582</v>
      </c>
      <c r="B9" s="570" t="s">
        <v>326</v>
      </c>
      <c r="C9" s="571" t="s">
        <v>327</v>
      </c>
      <c r="D9" s="572" t="s">
        <v>1573</v>
      </c>
    </row>
    <row r="10" spans="1:4" ht="13.5">
      <c r="A10" s="573" t="s">
        <v>328</v>
      </c>
      <c r="B10" s="574"/>
      <c r="C10" s="575"/>
      <c r="D10" s="576">
        <f>D11+D13+D16+D23+D46+D48+D51+D54+D56+D60+D71+D86+D88+D90+D104+D109+D112+D114+D116</f>
        <v>5885537.11</v>
      </c>
    </row>
    <row r="11" spans="1:4" ht="26.25">
      <c r="A11" s="577" t="s">
        <v>329</v>
      </c>
      <c r="B11" s="578" t="s">
        <v>330</v>
      </c>
      <c r="C11" s="535"/>
      <c r="D11" s="579">
        <f>D12</f>
        <v>126.2</v>
      </c>
    </row>
    <row r="12" spans="1:4" ht="26.25">
      <c r="A12" s="27" t="s">
        <v>277</v>
      </c>
      <c r="B12" s="535"/>
      <c r="C12" s="535" t="s">
        <v>765</v>
      </c>
      <c r="D12" s="580">
        <v>126.2</v>
      </c>
    </row>
    <row r="13" spans="1:4" ht="39">
      <c r="A13" s="577" t="s">
        <v>331</v>
      </c>
      <c r="B13" s="578" t="s">
        <v>332</v>
      </c>
      <c r="C13" s="581"/>
      <c r="D13" s="579">
        <f>SUM(D14:D15)</f>
        <v>7220</v>
      </c>
    </row>
    <row r="14" spans="1:4" ht="26.25">
      <c r="A14" s="27" t="s">
        <v>904</v>
      </c>
      <c r="B14" s="578"/>
      <c r="C14" s="535" t="s">
        <v>905</v>
      </c>
      <c r="D14" s="580">
        <v>20</v>
      </c>
    </row>
    <row r="15" spans="1:4" ht="26.25">
      <c r="A15" s="538" t="s">
        <v>275</v>
      </c>
      <c r="B15" s="578"/>
      <c r="C15" s="535" t="s">
        <v>274</v>
      </c>
      <c r="D15" s="580">
        <v>7200</v>
      </c>
    </row>
    <row r="16" spans="1:4" ht="26.25">
      <c r="A16" s="577" t="s">
        <v>333</v>
      </c>
      <c r="B16" s="578" t="s">
        <v>780</v>
      </c>
      <c r="C16" s="581"/>
      <c r="D16" s="579">
        <f>SUM(D17:D22)</f>
        <v>9695.1</v>
      </c>
    </row>
    <row r="17" spans="1:4" ht="26.25">
      <c r="A17" s="38" t="s">
        <v>700</v>
      </c>
      <c r="B17" s="583"/>
      <c r="C17" s="583" t="s">
        <v>699</v>
      </c>
      <c r="D17" s="580">
        <v>11.6</v>
      </c>
    </row>
    <row r="18" spans="1:4" ht="39">
      <c r="A18" s="27" t="s">
        <v>70</v>
      </c>
      <c r="B18" s="535"/>
      <c r="C18" s="535" t="s">
        <v>638</v>
      </c>
      <c r="D18" s="580">
        <v>75.1</v>
      </c>
    </row>
    <row r="19" spans="1:4" ht="26.25">
      <c r="A19" s="38" t="s">
        <v>277</v>
      </c>
      <c r="B19" s="535"/>
      <c r="C19" s="583" t="s">
        <v>765</v>
      </c>
      <c r="D19" s="580">
        <v>0</v>
      </c>
    </row>
    <row r="20" spans="1:4" ht="13.5">
      <c r="A20" s="27" t="s">
        <v>1055</v>
      </c>
      <c r="B20" s="535"/>
      <c r="C20" s="535" t="s">
        <v>1056</v>
      </c>
      <c r="D20" s="580">
        <v>5530</v>
      </c>
    </row>
    <row r="21" spans="1:4" ht="39">
      <c r="A21" s="38" t="s">
        <v>311</v>
      </c>
      <c r="B21" s="583"/>
      <c r="C21" s="535" t="s">
        <v>118</v>
      </c>
      <c r="D21" s="580">
        <v>4013.4</v>
      </c>
    </row>
    <row r="22" spans="1:4" ht="39">
      <c r="A22" s="38" t="s">
        <v>1307</v>
      </c>
      <c r="B22" s="535"/>
      <c r="C22" s="535" t="s">
        <v>1324</v>
      </c>
      <c r="D22" s="584">
        <v>65</v>
      </c>
    </row>
    <row r="23" spans="1:4" ht="26.25">
      <c r="A23" s="577" t="s">
        <v>334</v>
      </c>
      <c r="B23" s="578" t="s">
        <v>781</v>
      </c>
      <c r="C23" s="535"/>
      <c r="D23" s="579">
        <f>SUM(D24:D45)</f>
        <v>198355.61000000004</v>
      </c>
    </row>
    <row r="24" spans="1:4" ht="26.25">
      <c r="A24" s="38" t="s">
        <v>700</v>
      </c>
      <c r="B24" s="535"/>
      <c r="C24" s="583" t="s">
        <v>699</v>
      </c>
      <c r="D24" s="580">
        <v>601.7</v>
      </c>
    </row>
    <row r="25" spans="1:4" ht="13.5">
      <c r="A25" s="38" t="s">
        <v>251</v>
      </c>
      <c r="B25" s="535"/>
      <c r="C25" s="583" t="s">
        <v>698</v>
      </c>
      <c r="D25" s="580">
        <v>1154.5</v>
      </c>
    </row>
    <row r="26" spans="1:4" ht="26.25">
      <c r="A26" s="27" t="s">
        <v>277</v>
      </c>
      <c r="B26" s="535"/>
      <c r="C26" s="535" t="s">
        <v>765</v>
      </c>
      <c r="D26" s="580">
        <v>328.9</v>
      </c>
    </row>
    <row r="27" spans="1:4" ht="13.5">
      <c r="A27" s="27" t="s">
        <v>1638</v>
      </c>
      <c r="B27" s="535"/>
      <c r="C27" s="535" t="s">
        <v>1336</v>
      </c>
      <c r="D27" s="580">
        <v>-0.89</v>
      </c>
    </row>
    <row r="28" spans="1:4" ht="13.5">
      <c r="A28" s="27" t="s">
        <v>705</v>
      </c>
      <c r="B28" s="535"/>
      <c r="C28" s="535" t="s">
        <v>706</v>
      </c>
      <c r="D28" s="580">
        <v>21411.7</v>
      </c>
    </row>
    <row r="29" spans="1:4" ht="26.25">
      <c r="A29" s="27" t="s">
        <v>1418</v>
      </c>
      <c r="B29" s="585"/>
      <c r="C29" s="535" t="s">
        <v>973</v>
      </c>
      <c r="D29" s="580">
        <v>1703.1</v>
      </c>
    </row>
    <row r="30" spans="1:4" ht="39">
      <c r="A30" s="27" t="s">
        <v>280</v>
      </c>
      <c r="B30" s="585"/>
      <c r="C30" s="535" t="s">
        <v>974</v>
      </c>
      <c r="D30" s="580">
        <v>1500</v>
      </c>
    </row>
    <row r="31" spans="1:4" ht="26.25">
      <c r="A31" s="27" t="s">
        <v>335</v>
      </c>
      <c r="B31" s="585"/>
      <c r="C31" s="535" t="s">
        <v>59</v>
      </c>
      <c r="D31" s="580">
        <v>1111.9</v>
      </c>
    </row>
    <row r="32" spans="1:4" ht="78.75">
      <c r="A32" s="27" t="s">
        <v>1072</v>
      </c>
      <c r="B32" s="585"/>
      <c r="C32" s="535" t="s">
        <v>1071</v>
      </c>
      <c r="D32" s="580">
        <v>7449</v>
      </c>
    </row>
    <row r="33" spans="1:4" ht="13.5">
      <c r="A33" s="27" t="s">
        <v>1055</v>
      </c>
      <c r="B33" s="535"/>
      <c r="C33" s="535" t="s">
        <v>1056</v>
      </c>
      <c r="D33" s="580">
        <v>32885.7</v>
      </c>
    </row>
    <row r="34" spans="1:4" ht="26.25">
      <c r="A34" s="27" t="s">
        <v>778</v>
      </c>
      <c r="B34" s="535"/>
      <c r="C34" s="535" t="s">
        <v>1012</v>
      </c>
      <c r="D34" s="580">
        <v>35324</v>
      </c>
    </row>
    <row r="35" spans="1:4" ht="26.25">
      <c r="A35" s="27" t="s">
        <v>1421</v>
      </c>
      <c r="B35" s="535"/>
      <c r="C35" s="535" t="s">
        <v>60</v>
      </c>
      <c r="D35" s="580">
        <v>22964</v>
      </c>
    </row>
    <row r="36" spans="1:4" ht="78.75">
      <c r="A36" s="27" t="s">
        <v>303</v>
      </c>
      <c r="B36" s="535"/>
      <c r="C36" s="535" t="s">
        <v>1210</v>
      </c>
      <c r="D36" s="580">
        <v>0</v>
      </c>
    </row>
    <row r="37" spans="1:4" ht="52.5">
      <c r="A37" s="27" t="s">
        <v>304</v>
      </c>
      <c r="B37" s="535"/>
      <c r="C37" s="535" t="s">
        <v>1275</v>
      </c>
      <c r="D37" s="580">
        <v>1844.1</v>
      </c>
    </row>
    <row r="38" spans="1:4" ht="52.5">
      <c r="A38" s="27" t="s">
        <v>309</v>
      </c>
      <c r="B38" s="535"/>
      <c r="C38" s="535" t="s">
        <v>639</v>
      </c>
      <c r="D38" s="580">
        <v>73799.2</v>
      </c>
    </row>
    <row r="39" spans="1:4" ht="13.5">
      <c r="A39" s="27" t="s">
        <v>512</v>
      </c>
      <c r="B39" s="535"/>
      <c r="C39" s="535" t="s">
        <v>513</v>
      </c>
      <c r="D39" s="580">
        <v>24815.2</v>
      </c>
    </row>
    <row r="40" spans="1:4" ht="39">
      <c r="A40" s="38" t="s">
        <v>311</v>
      </c>
      <c r="B40" s="583"/>
      <c r="C40" s="535" t="s">
        <v>118</v>
      </c>
      <c r="D40" s="580">
        <v>4784</v>
      </c>
    </row>
    <row r="41" spans="1:4" ht="39">
      <c r="A41" s="38" t="s">
        <v>336</v>
      </c>
      <c r="B41" s="583"/>
      <c r="C41" s="535" t="s">
        <v>337</v>
      </c>
      <c r="D41" s="580">
        <v>228.6</v>
      </c>
    </row>
    <row r="42" spans="1:4" ht="52.5">
      <c r="A42" s="38" t="s">
        <v>338</v>
      </c>
      <c r="B42" s="583"/>
      <c r="C42" s="535" t="s">
        <v>640</v>
      </c>
      <c r="D42" s="580">
        <v>0</v>
      </c>
    </row>
    <row r="43" spans="1:4" ht="26.25">
      <c r="A43" s="38" t="s">
        <v>318</v>
      </c>
      <c r="B43" s="535"/>
      <c r="C43" s="535" t="s">
        <v>339</v>
      </c>
      <c r="D43" s="580">
        <v>4.6</v>
      </c>
    </row>
    <row r="44" spans="1:4" ht="13.5">
      <c r="A44" s="38" t="s">
        <v>319</v>
      </c>
      <c r="B44" s="583"/>
      <c r="C44" s="535" t="s">
        <v>340</v>
      </c>
      <c r="D44" s="580">
        <v>2894</v>
      </c>
    </row>
    <row r="45" spans="1:4" ht="26.25">
      <c r="A45" s="27" t="s">
        <v>320</v>
      </c>
      <c r="B45" s="535"/>
      <c r="C45" s="535" t="s">
        <v>633</v>
      </c>
      <c r="D45" s="582">
        <v>-36447.7</v>
      </c>
    </row>
    <row r="46" spans="1:4" ht="39">
      <c r="A46" s="586" t="s">
        <v>341</v>
      </c>
      <c r="B46" s="578" t="s">
        <v>342</v>
      </c>
      <c r="C46" s="535"/>
      <c r="D46" s="587">
        <f>D47</f>
        <v>50</v>
      </c>
    </row>
    <row r="47" spans="1:4" ht="26.25">
      <c r="A47" s="27" t="s">
        <v>277</v>
      </c>
      <c r="B47" s="535"/>
      <c r="C47" s="535" t="s">
        <v>765</v>
      </c>
      <c r="D47" s="584">
        <v>50</v>
      </c>
    </row>
    <row r="48" spans="1:4" ht="13.5">
      <c r="A48" s="577" t="s">
        <v>343</v>
      </c>
      <c r="B48" s="578" t="s">
        <v>344</v>
      </c>
      <c r="C48" s="583"/>
      <c r="D48" s="588">
        <f>D49+D50</f>
        <v>8138.6</v>
      </c>
    </row>
    <row r="49" spans="1:4" ht="13.5">
      <c r="A49" s="27" t="s">
        <v>1274</v>
      </c>
      <c r="B49" s="589"/>
      <c r="C49" s="535" t="s">
        <v>38</v>
      </c>
      <c r="D49" s="590">
        <v>7035.1</v>
      </c>
    </row>
    <row r="50" spans="1:4" ht="66">
      <c r="A50" s="27" t="s">
        <v>265</v>
      </c>
      <c r="B50" s="535"/>
      <c r="C50" s="535" t="s">
        <v>264</v>
      </c>
      <c r="D50" s="590">
        <v>1103.5</v>
      </c>
    </row>
    <row r="51" spans="1:256" ht="39">
      <c r="A51" s="577" t="s">
        <v>345</v>
      </c>
      <c r="B51" s="578" t="s">
        <v>346</v>
      </c>
      <c r="C51" s="583"/>
      <c r="D51" s="588">
        <f>D52+D53</f>
        <v>1378.2</v>
      </c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91"/>
      <c r="T51" s="591"/>
      <c r="U51" s="591"/>
      <c r="V51" s="591"/>
      <c r="W51" s="591"/>
      <c r="X51" s="591"/>
      <c r="Y51" s="591"/>
      <c r="Z51" s="591"/>
      <c r="AA51" s="591"/>
      <c r="AB51" s="591"/>
      <c r="AC51" s="591"/>
      <c r="AD51" s="591"/>
      <c r="AE51" s="591"/>
      <c r="AF51" s="591"/>
      <c r="AG51" s="591"/>
      <c r="AH51" s="591"/>
      <c r="AI51" s="591"/>
      <c r="AJ51" s="591"/>
      <c r="AK51" s="591"/>
      <c r="AL51" s="591"/>
      <c r="AM51" s="591"/>
      <c r="AN51" s="591"/>
      <c r="AO51" s="591"/>
      <c r="AP51" s="591"/>
      <c r="AQ51" s="591"/>
      <c r="AR51" s="591"/>
      <c r="AS51" s="591"/>
      <c r="AT51" s="591"/>
      <c r="AU51" s="591"/>
      <c r="AV51" s="591"/>
      <c r="AW51" s="591"/>
      <c r="AX51" s="591"/>
      <c r="AY51" s="591"/>
      <c r="AZ51" s="591"/>
      <c r="BA51" s="591"/>
      <c r="BB51" s="591"/>
      <c r="BC51" s="591"/>
      <c r="BD51" s="591"/>
      <c r="BE51" s="591"/>
      <c r="BF51" s="591"/>
      <c r="BG51" s="591"/>
      <c r="BH51" s="591"/>
      <c r="BI51" s="591"/>
      <c r="BJ51" s="591"/>
      <c r="BK51" s="591"/>
      <c r="BL51" s="591"/>
      <c r="BM51" s="591"/>
      <c r="BN51" s="591"/>
      <c r="BO51" s="591"/>
      <c r="BP51" s="591"/>
      <c r="BQ51" s="591"/>
      <c r="BR51" s="591"/>
      <c r="BS51" s="591"/>
      <c r="BT51" s="591"/>
      <c r="BU51" s="591"/>
      <c r="BV51" s="591"/>
      <c r="BW51" s="591"/>
      <c r="BX51" s="591"/>
      <c r="BY51" s="591"/>
      <c r="BZ51" s="591"/>
      <c r="CA51" s="591"/>
      <c r="CB51" s="591"/>
      <c r="CC51" s="591"/>
      <c r="CD51" s="591"/>
      <c r="CE51" s="591"/>
      <c r="CF51" s="591"/>
      <c r="CG51" s="591"/>
      <c r="CH51" s="591"/>
      <c r="CI51" s="591"/>
      <c r="CJ51" s="591"/>
      <c r="CK51" s="591"/>
      <c r="CL51" s="591"/>
      <c r="CM51" s="591"/>
      <c r="CN51" s="591"/>
      <c r="CO51" s="591"/>
      <c r="CP51" s="591"/>
      <c r="CQ51" s="591"/>
      <c r="CR51" s="591"/>
      <c r="CS51" s="591"/>
      <c r="CT51" s="591"/>
      <c r="CU51" s="591"/>
      <c r="CV51" s="591"/>
      <c r="CW51" s="591"/>
      <c r="CX51" s="591"/>
      <c r="CY51" s="591"/>
      <c r="CZ51" s="591"/>
      <c r="DA51" s="591"/>
      <c r="DB51" s="591"/>
      <c r="DC51" s="591"/>
      <c r="DD51" s="591"/>
      <c r="DE51" s="591"/>
      <c r="DF51" s="591"/>
      <c r="DG51" s="591"/>
      <c r="DH51" s="591"/>
      <c r="DI51" s="591"/>
      <c r="DJ51" s="591"/>
      <c r="DK51" s="591"/>
      <c r="DL51" s="591"/>
      <c r="DM51" s="591"/>
      <c r="DN51" s="591"/>
      <c r="DO51" s="591"/>
      <c r="DP51" s="591"/>
      <c r="DQ51" s="591"/>
      <c r="DR51" s="591"/>
      <c r="DS51" s="591"/>
      <c r="DT51" s="591"/>
      <c r="DU51" s="591"/>
      <c r="DV51" s="591"/>
      <c r="DW51" s="591"/>
      <c r="DX51" s="591"/>
      <c r="DY51" s="591"/>
      <c r="DZ51" s="591"/>
      <c r="EA51" s="591"/>
      <c r="EB51" s="591"/>
      <c r="EC51" s="591"/>
      <c r="ED51" s="591"/>
      <c r="EE51" s="591"/>
      <c r="EF51" s="591"/>
      <c r="EG51" s="591"/>
      <c r="EH51" s="591"/>
      <c r="EI51" s="591"/>
      <c r="EJ51" s="591"/>
      <c r="EK51" s="591"/>
      <c r="EL51" s="591"/>
      <c r="EM51" s="591"/>
      <c r="EN51" s="591"/>
      <c r="EO51" s="591"/>
      <c r="EP51" s="591"/>
      <c r="EQ51" s="591"/>
      <c r="ER51" s="591"/>
      <c r="ES51" s="591"/>
      <c r="ET51" s="591"/>
      <c r="EU51" s="591"/>
      <c r="EV51" s="591"/>
      <c r="EW51" s="591"/>
      <c r="EX51" s="591"/>
      <c r="EY51" s="591"/>
      <c r="EZ51" s="591"/>
      <c r="FA51" s="591"/>
      <c r="FB51" s="591"/>
      <c r="FC51" s="591"/>
      <c r="FD51" s="591"/>
      <c r="FE51" s="591"/>
      <c r="FF51" s="591"/>
      <c r="FG51" s="591"/>
      <c r="FH51" s="591"/>
      <c r="FI51" s="591"/>
      <c r="FJ51" s="591"/>
      <c r="FK51" s="591"/>
      <c r="FL51" s="591"/>
      <c r="FM51" s="591"/>
      <c r="FN51" s="591"/>
      <c r="FO51" s="591"/>
      <c r="FP51" s="591"/>
      <c r="FQ51" s="591"/>
      <c r="FR51" s="591"/>
      <c r="FS51" s="591"/>
      <c r="FT51" s="591"/>
      <c r="FU51" s="591"/>
      <c r="FV51" s="591"/>
      <c r="FW51" s="591"/>
      <c r="FX51" s="591"/>
      <c r="FY51" s="591"/>
      <c r="FZ51" s="591"/>
      <c r="GA51" s="591"/>
      <c r="GB51" s="591"/>
      <c r="GC51" s="591"/>
      <c r="GD51" s="591"/>
      <c r="GE51" s="591"/>
      <c r="GF51" s="591"/>
      <c r="GG51" s="591"/>
      <c r="GH51" s="591"/>
      <c r="GI51" s="591"/>
      <c r="GJ51" s="591"/>
      <c r="GK51" s="591"/>
      <c r="GL51" s="591"/>
      <c r="GM51" s="591"/>
      <c r="GN51" s="591"/>
      <c r="GO51" s="591"/>
      <c r="GP51" s="591"/>
      <c r="GQ51" s="591"/>
      <c r="GR51" s="591"/>
      <c r="GS51" s="591"/>
      <c r="GT51" s="591"/>
      <c r="GU51" s="591"/>
      <c r="GV51" s="591"/>
      <c r="GW51" s="591"/>
      <c r="GX51" s="591"/>
      <c r="GY51" s="591"/>
      <c r="GZ51" s="591"/>
      <c r="HA51" s="591"/>
      <c r="HB51" s="591"/>
      <c r="HC51" s="591"/>
      <c r="HD51" s="591"/>
      <c r="HE51" s="591"/>
      <c r="HF51" s="591"/>
      <c r="HG51" s="591"/>
      <c r="HH51" s="591"/>
      <c r="HI51" s="591"/>
      <c r="HJ51" s="591"/>
      <c r="HK51" s="591"/>
      <c r="HL51" s="591"/>
      <c r="HM51" s="591"/>
      <c r="HN51" s="591"/>
      <c r="HO51" s="591"/>
      <c r="HP51" s="591"/>
      <c r="HQ51" s="591"/>
      <c r="HR51" s="591"/>
      <c r="HS51" s="591"/>
      <c r="HT51" s="591"/>
      <c r="HU51" s="591"/>
      <c r="HV51" s="591"/>
      <c r="HW51" s="591"/>
      <c r="HX51" s="591"/>
      <c r="HY51" s="591"/>
      <c r="HZ51" s="591"/>
      <c r="IA51" s="591"/>
      <c r="IB51" s="591"/>
      <c r="IC51" s="591"/>
      <c r="ID51" s="591"/>
      <c r="IE51" s="591"/>
      <c r="IF51" s="591"/>
      <c r="IG51" s="591"/>
      <c r="IH51" s="591"/>
      <c r="II51" s="591"/>
      <c r="IJ51" s="591"/>
      <c r="IK51" s="591"/>
      <c r="IL51" s="591"/>
      <c r="IM51" s="591"/>
      <c r="IN51" s="591"/>
      <c r="IO51" s="591"/>
      <c r="IP51" s="591"/>
      <c r="IQ51" s="591"/>
      <c r="IR51" s="591"/>
      <c r="IS51" s="591"/>
      <c r="IT51" s="591"/>
      <c r="IU51" s="591"/>
      <c r="IV51" s="591"/>
    </row>
    <row r="52" spans="1:256" ht="26.25">
      <c r="A52" s="27" t="s">
        <v>146</v>
      </c>
      <c r="B52" s="535"/>
      <c r="C52" s="535" t="s">
        <v>1612</v>
      </c>
      <c r="D52" s="592">
        <v>620.2</v>
      </c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91"/>
      <c r="AS52" s="591"/>
      <c r="AT52" s="591"/>
      <c r="AU52" s="591"/>
      <c r="AV52" s="591"/>
      <c r="AW52" s="591"/>
      <c r="AX52" s="591"/>
      <c r="AY52" s="591"/>
      <c r="AZ52" s="591"/>
      <c r="BA52" s="591"/>
      <c r="BB52" s="591"/>
      <c r="BC52" s="591"/>
      <c r="BD52" s="591"/>
      <c r="BE52" s="591"/>
      <c r="BF52" s="591"/>
      <c r="BG52" s="591"/>
      <c r="BH52" s="591"/>
      <c r="BI52" s="591"/>
      <c r="BJ52" s="591"/>
      <c r="BK52" s="591"/>
      <c r="BL52" s="591"/>
      <c r="BM52" s="591"/>
      <c r="BN52" s="591"/>
      <c r="BO52" s="591"/>
      <c r="BP52" s="591"/>
      <c r="BQ52" s="591"/>
      <c r="BR52" s="591"/>
      <c r="BS52" s="591"/>
      <c r="BT52" s="591"/>
      <c r="BU52" s="591"/>
      <c r="BV52" s="591"/>
      <c r="BW52" s="591"/>
      <c r="BX52" s="591"/>
      <c r="BY52" s="591"/>
      <c r="BZ52" s="591"/>
      <c r="CA52" s="591"/>
      <c r="CB52" s="591"/>
      <c r="CC52" s="591"/>
      <c r="CD52" s="591"/>
      <c r="CE52" s="591"/>
      <c r="CF52" s="591"/>
      <c r="CG52" s="591"/>
      <c r="CH52" s="591"/>
      <c r="CI52" s="591"/>
      <c r="CJ52" s="591"/>
      <c r="CK52" s="591"/>
      <c r="CL52" s="591"/>
      <c r="CM52" s="591"/>
      <c r="CN52" s="591"/>
      <c r="CO52" s="591"/>
      <c r="CP52" s="591"/>
      <c r="CQ52" s="591"/>
      <c r="CR52" s="591"/>
      <c r="CS52" s="591"/>
      <c r="CT52" s="591"/>
      <c r="CU52" s="591"/>
      <c r="CV52" s="591"/>
      <c r="CW52" s="591"/>
      <c r="CX52" s="591"/>
      <c r="CY52" s="591"/>
      <c r="CZ52" s="591"/>
      <c r="DA52" s="591"/>
      <c r="DB52" s="591"/>
      <c r="DC52" s="591"/>
      <c r="DD52" s="591"/>
      <c r="DE52" s="591"/>
      <c r="DF52" s="591"/>
      <c r="DG52" s="591"/>
      <c r="DH52" s="591"/>
      <c r="DI52" s="591"/>
      <c r="DJ52" s="591"/>
      <c r="DK52" s="591"/>
      <c r="DL52" s="591"/>
      <c r="DM52" s="591"/>
      <c r="DN52" s="591"/>
      <c r="DO52" s="591"/>
      <c r="DP52" s="591"/>
      <c r="DQ52" s="591"/>
      <c r="DR52" s="591"/>
      <c r="DS52" s="591"/>
      <c r="DT52" s="591"/>
      <c r="DU52" s="591"/>
      <c r="DV52" s="591"/>
      <c r="DW52" s="591"/>
      <c r="DX52" s="591"/>
      <c r="DY52" s="591"/>
      <c r="DZ52" s="591"/>
      <c r="EA52" s="591"/>
      <c r="EB52" s="591"/>
      <c r="EC52" s="591"/>
      <c r="ED52" s="591"/>
      <c r="EE52" s="591"/>
      <c r="EF52" s="591"/>
      <c r="EG52" s="591"/>
      <c r="EH52" s="591"/>
      <c r="EI52" s="591"/>
      <c r="EJ52" s="591"/>
      <c r="EK52" s="591"/>
      <c r="EL52" s="591"/>
      <c r="EM52" s="591"/>
      <c r="EN52" s="591"/>
      <c r="EO52" s="591"/>
      <c r="EP52" s="591"/>
      <c r="EQ52" s="591"/>
      <c r="ER52" s="591"/>
      <c r="ES52" s="591"/>
      <c r="ET52" s="591"/>
      <c r="EU52" s="591"/>
      <c r="EV52" s="591"/>
      <c r="EW52" s="591"/>
      <c r="EX52" s="591"/>
      <c r="EY52" s="591"/>
      <c r="EZ52" s="591"/>
      <c r="FA52" s="591"/>
      <c r="FB52" s="591"/>
      <c r="FC52" s="591"/>
      <c r="FD52" s="591"/>
      <c r="FE52" s="591"/>
      <c r="FF52" s="591"/>
      <c r="FG52" s="591"/>
      <c r="FH52" s="591"/>
      <c r="FI52" s="591"/>
      <c r="FJ52" s="591"/>
      <c r="FK52" s="591"/>
      <c r="FL52" s="591"/>
      <c r="FM52" s="591"/>
      <c r="FN52" s="591"/>
      <c r="FO52" s="591"/>
      <c r="FP52" s="591"/>
      <c r="FQ52" s="591"/>
      <c r="FR52" s="591"/>
      <c r="FS52" s="591"/>
      <c r="FT52" s="591"/>
      <c r="FU52" s="591"/>
      <c r="FV52" s="591"/>
      <c r="FW52" s="591"/>
      <c r="FX52" s="591"/>
      <c r="FY52" s="591"/>
      <c r="FZ52" s="591"/>
      <c r="GA52" s="591"/>
      <c r="GB52" s="591"/>
      <c r="GC52" s="591"/>
      <c r="GD52" s="591"/>
      <c r="GE52" s="591"/>
      <c r="GF52" s="591"/>
      <c r="GG52" s="591"/>
      <c r="GH52" s="591"/>
      <c r="GI52" s="591"/>
      <c r="GJ52" s="591"/>
      <c r="GK52" s="591"/>
      <c r="GL52" s="591"/>
      <c r="GM52" s="591"/>
      <c r="GN52" s="591"/>
      <c r="GO52" s="591"/>
      <c r="GP52" s="591"/>
      <c r="GQ52" s="591"/>
      <c r="GR52" s="591"/>
      <c r="GS52" s="591"/>
      <c r="GT52" s="591"/>
      <c r="GU52" s="591"/>
      <c r="GV52" s="591"/>
      <c r="GW52" s="591"/>
      <c r="GX52" s="591"/>
      <c r="GY52" s="591"/>
      <c r="GZ52" s="591"/>
      <c r="HA52" s="591"/>
      <c r="HB52" s="591"/>
      <c r="HC52" s="591"/>
      <c r="HD52" s="591"/>
      <c r="HE52" s="591"/>
      <c r="HF52" s="591"/>
      <c r="HG52" s="591"/>
      <c r="HH52" s="591"/>
      <c r="HI52" s="591"/>
      <c r="HJ52" s="591"/>
      <c r="HK52" s="591"/>
      <c r="HL52" s="591"/>
      <c r="HM52" s="591"/>
      <c r="HN52" s="591"/>
      <c r="HO52" s="591"/>
      <c r="HP52" s="591"/>
      <c r="HQ52" s="591"/>
      <c r="HR52" s="591"/>
      <c r="HS52" s="591"/>
      <c r="HT52" s="591"/>
      <c r="HU52" s="591"/>
      <c r="HV52" s="591"/>
      <c r="HW52" s="591"/>
      <c r="HX52" s="591"/>
      <c r="HY52" s="591"/>
      <c r="HZ52" s="591"/>
      <c r="IA52" s="591"/>
      <c r="IB52" s="591"/>
      <c r="IC52" s="591"/>
      <c r="ID52" s="591"/>
      <c r="IE52" s="591"/>
      <c r="IF52" s="591"/>
      <c r="IG52" s="591"/>
      <c r="IH52" s="591"/>
      <c r="II52" s="591"/>
      <c r="IJ52" s="591"/>
      <c r="IK52" s="591"/>
      <c r="IL52" s="591"/>
      <c r="IM52" s="591"/>
      <c r="IN52" s="591"/>
      <c r="IO52" s="591"/>
      <c r="IP52" s="591"/>
      <c r="IQ52" s="591"/>
      <c r="IR52" s="591"/>
      <c r="IS52" s="591"/>
      <c r="IT52" s="591"/>
      <c r="IU52" s="591"/>
      <c r="IV52" s="591"/>
    </row>
    <row r="53" spans="1:256" ht="26.25">
      <c r="A53" s="27" t="s">
        <v>277</v>
      </c>
      <c r="B53" s="535"/>
      <c r="C53" s="535" t="s">
        <v>765</v>
      </c>
      <c r="D53" s="592">
        <v>758</v>
      </c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91"/>
      <c r="AS53" s="591"/>
      <c r="AT53" s="591"/>
      <c r="AU53" s="591"/>
      <c r="AV53" s="591"/>
      <c r="AW53" s="591"/>
      <c r="AX53" s="591"/>
      <c r="AY53" s="591"/>
      <c r="AZ53" s="591"/>
      <c r="BA53" s="591"/>
      <c r="BB53" s="591"/>
      <c r="BC53" s="591"/>
      <c r="BD53" s="591"/>
      <c r="BE53" s="591"/>
      <c r="BF53" s="591"/>
      <c r="BG53" s="591"/>
      <c r="BH53" s="591"/>
      <c r="BI53" s="591"/>
      <c r="BJ53" s="591"/>
      <c r="BK53" s="591"/>
      <c r="BL53" s="591"/>
      <c r="BM53" s="591"/>
      <c r="BN53" s="591"/>
      <c r="BO53" s="591"/>
      <c r="BP53" s="591"/>
      <c r="BQ53" s="591"/>
      <c r="BR53" s="591"/>
      <c r="BS53" s="591"/>
      <c r="BT53" s="591"/>
      <c r="BU53" s="591"/>
      <c r="BV53" s="591"/>
      <c r="BW53" s="591"/>
      <c r="BX53" s="591"/>
      <c r="BY53" s="591"/>
      <c r="BZ53" s="591"/>
      <c r="CA53" s="591"/>
      <c r="CB53" s="591"/>
      <c r="CC53" s="591"/>
      <c r="CD53" s="591"/>
      <c r="CE53" s="591"/>
      <c r="CF53" s="591"/>
      <c r="CG53" s="591"/>
      <c r="CH53" s="591"/>
      <c r="CI53" s="591"/>
      <c r="CJ53" s="591"/>
      <c r="CK53" s="591"/>
      <c r="CL53" s="591"/>
      <c r="CM53" s="591"/>
      <c r="CN53" s="591"/>
      <c r="CO53" s="591"/>
      <c r="CP53" s="591"/>
      <c r="CQ53" s="591"/>
      <c r="CR53" s="591"/>
      <c r="CS53" s="591"/>
      <c r="CT53" s="591"/>
      <c r="CU53" s="591"/>
      <c r="CV53" s="591"/>
      <c r="CW53" s="591"/>
      <c r="CX53" s="591"/>
      <c r="CY53" s="591"/>
      <c r="CZ53" s="591"/>
      <c r="DA53" s="591"/>
      <c r="DB53" s="591"/>
      <c r="DC53" s="591"/>
      <c r="DD53" s="591"/>
      <c r="DE53" s="591"/>
      <c r="DF53" s="591"/>
      <c r="DG53" s="591"/>
      <c r="DH53" s="591"/>
      <c r="DI53" s="591"/>
      <c r="DJ53" s="591"/>
      <c r="DK53" s="591"/>
      <c r="DL53" s="591"/>
      <c r="DM53" s="591"/>
      <c r="DN53" s="591"/>
      <c r="DO53" s="591"/>
      <c r="DP53" s="591"/>
      <c r="DQ53" s="591"/>
      <c r="DR53" s="591"/>
      <c r="DS53" s="591"/>
      <c r="DT53" s="591"/>
      <c r="DU53" s="591"/>
      <c r="DV53" s="591"/>
      <c r="DW53" s="591"/>
      <c r="DX53" s="591"/>
      <c r="DY53" s="591"/>
      <c r="DZ53" s="591"/>
      <c r="EA53" s="591"/>
      <c r="EB53" s="591"/>
      <c r="EC53" s="591"/>
      <c r="ED53" s="591"/>
      <c r="EE53" s="591"/>
      <c r="EF53" s="591"/>
      <c r="EG53" s="591"/>
      <c r="EH53" s="591"/>
      <c r="EI53" s="591"/>
      <c r="EJ53" s="591"/>
      <c r="EK53" s="591"/>
      <c r="EL53" s="591"/>
      <c r="EM53" s="591"/>
      <c r="EN53" s="591"/>
      <c r="EO53" s="591"/>
      <c r="EP53" s="591"/>
      <c r="EQ53" s="591"/>
      <c r="ER53" s="591"/>
      <c r="ES53" s="591"/>
      <c r="ET53" s="591"/>
      <c r="EU53" s="591"/>
      <c r="EV53" s="591"/>
      <c r="EW53" s="591"/>
      <c r="EX53" s="591"/>
      <c r="EY53" s="591"/>
      <c r="EZ53" s="591"/>
      <c r="FA53" s="591"/>
      <c r="FB53" s="591"/>
      <c r="FC53" s="591"/>
      <c r="FD53" s="591"/>
      <c r="FE53" s="591"/>
      <c r="FF53" s="591"/>
      <c r="FG53" s="591"/>
      <c r="FH53" s="591"/>
      <c r="FI53" s="591"/>
      <c r="FJ53" s="591"/>
      <c r="FK53" s="591"/>
      <c r="FL53" s="591"/>
      <c r="FM53" s="591"/>
      <c r="FN53" s="591"/>
      <c r="FO53" s="591"/>
      <c r="FP53" s="591"/>
      <c r="FQ53" s="591"/>
      <c r="FR53" s="591"/>
      <c r="FS53" s="591"/>
      <c r="FT53" s="591"/>
      <c r="FU53" s="591"/>
      <c r="FV53" s="591"/>
      <c r="FW53" s="591"/>
      <c r="FX53" s="591"/>
      <c r="FY53" s="591"/>
      <c r="FZ53" s="591"/>
      <c r="GA53" s="591"/>
      <c r="GB53" s="591"/>
      <c r="GC53" s="591"/>
      <c r="GD53" s="591"/>
      <c r="GE53" s="591"/>
      <c r="GF53" s="591"/>
      <c r="GG53" s="591"/>
      <c r="GH53" s="591"/>
      <c r="GI53" s="591"/>
      <c r="GJ53" s="591"/>
      <c r="GK53" s="591"/>
      <c r="GL53" s="591"/>
      <c r="GM53" s="591"/>
      <c r="GN53" s="591"/>
      <c r="GO53" s="591"/>
      <c r="GP53" s="591"/>
      <c r="GQ53" s="591"/>
      <c r="GR53" s="591"/>
      <c r="GS53" s="591"/>
      <c r="GT53" s="591"/>
      <c r="GU53" s="591"/>
      <c r="GV53" s="591"/>
      <c r="GW53" s="591"/>
      <c r="GX53" s="591"/>
      <c r="GY53" s="591"/>
      <c r="GZ53" s="591"/>
      <c r="HA53" s="591"/>
      <c r="HB53" s="591"/>
      <c r="HC53" s="591"/>
      <c r="HD53" s="591"/>
      <c r="HE53" s="591"/>
      <c r="HF53" s="591"/>
      <c r="HG53" s="591"/>
      <c r="HH53" s="591"/>
      <c r="HI53" s="591"/>
      <c r="HJ53" s="591"/>
      <c r="HK53" s="591"/>
      <c r="HL53" s="591"/>
      <c r="HM53" s="591"/>
      <c r="HN53" s="591"/>
      <c r="HO53" s="591"/>
      <c r="HP53" s="591"/>
      <c r="HQ53" s="591"/>
      <c r="HR53" s="591"/>
      <c r="HS53" s="591"/>
      <c r="HT53" s="591"/>
      <c r="HU53" s="591"/>
      <c r="HV53" s="591"/>
      <c r="HW53" s="591"/>
      <c r="HX53" s="591"/>
      <c r="HY53" s="591"/>
      <c r="HZ53" s="591"/>
      <c r="IA53" s="591"/>
      <c r="IB53" s="591"/>
      <c r="IC53" s="591"/>
      <c r="ID53" s="591"/>
      <c r="IE53" s="591"/>
      <c r="IF53" s="591"/>
      <c r="IG53" s="591"/>
      <c r="IH53" s="591"/>
      <c r="II53" s="591"/>
      <c r="IJ53" s="591"/>
      <c r="IK53" s="591"/>
      <c r="IL53" s="591"/>
      <c r="IM53" s="591"/>
      <c r="IN53" s="591"/>
      <c r="IO53" s="591"/>
      <c r="IP53" s="591"/>
      <c r="IQ53" s="591"/>
      <c r="IR53" s="591"/>
      <c r="IS53" s="591"/>
      <c r="IT53" s="591"/>
      <c r="IU53" s="591"/>
      <c r="IV53" s="591"/>
    </row>
    <row r="54" spans="1:256" ht="26.25">
      <c r="A54" s="577" t="s">
        <v>347</v>
      </c>
      <c r="B54" s="585" t="s">
        <v>1462</v>
      </c>
      <c r="C54" s="535"/>
      <c r="D54" s="588">
        <f>SUM(D55)</f>
        <v>87074.6</v>
      </c>
      <c r="E54" s="591"/>
      <c r="F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91"/>
      <c r="AS54" s="591"/>
      <c r="AT54" s="591"/>
      <c r="AU54" s="591"/>
      <c r="AV54" s="591"/>
      <c r="AW54" s="591"/>
      <c r="AX54" s="591"/>
      <c r="AY54" s="591"/>
      <c r="AZ54" s="591"/>
      <c r="BA54" s="591"/>
      <c r="BB54" s="591"/>
      <c r="BC54" s="591"/>
      <c r="BD54" s="591"/>
      <c r="BE54" s="591"/>
      <c r="BF54" s="591"/>
      <c r="BG54" s="591"/>
      <c r="BH54" s="591"/>
      <c r="BI54" s="591"/>
      <c r="BJ54" s="591"/>
      <c r="BK54" s="591"/>
      <c r="BL54" s="591"/>
      <c r="BM54" s="591"/>
      <c r="BN54" s="591"/>
      <c r="BO54" s="591"/>
      <c r="BP54" s="591"/>
      <c r="BQ54" s="591"/>
      <c r="BR54" s="591"/>
      <c r="BS54" s="591"/>
      <c r="BT54" s="591"/>
      <c r="BU54" s="591"/>
      <c r="BV54" s="591"/>
      <c r="BW54" s="591"/>
      <c r="BX54" s="591"/>
      <c r="BY54" s="591"/>
      <c r="BZ54" s="591"/>
      <c r="CA54" s="591"/>
      <c r="CB54" s="591"/>
      <c r="CC54" s="591"/>
      <c r="CD54" s="591"/>
      <c r="CE54" s="591"/>
      <c r="CF54" s="591"/>
      <c r="CG54" s="591"/>
      <c r="CH54" s="591"/>
      <c r="CI54" s="591"/>
      <c r="CJ54" s="591"/>
      <c r="CK54" s="591"/>
      <c r="CL54" s="591"/>
      <c r="CM54" s="591"/>
      <c r="CN54" s="591"/>
      <c r="CO54" s="591"/>
      <c r="CP54" s="591"/>
      <c r="CQ54" s="591"/>
      <c r="CR54" s="591"/>
      <c r="CS54" s="591"/>
      <c r="CT54" s="591"/>
      <c r="CU54" s="591"/>
      <c r="CV54" s="591"/>
      <c r="CW54" s="591"/>
      <c r="CX54" s="591"/>
      <c r="CY54" s="591"/>
      <c r="CZ54" s="591"/>
      <c r="DA54" s="591"/>
      <c r="DB54" s="591"/>
      <c r="DC54" s="591"/>
      <c r="DD54" s="591"/>
      <c r="DE54" s="591"/>
      <c r="DF54" s="591"/>
      <c r="DG54" s="591"/>
      <c r="DH54" s="591"/>
      <c r="DI54" s="591"/>
      <c r="DJ54" s="591"/>
      <c r="DK54" s="591"/>
      <c r="DL54" s="591"/>
      <c r="DM54" s="591"/>
      <c r="DN54" s="591"/>
      <c r="DO54" s="591"/>
      <c r="DP54" s="591"/>
      <c r="DQ54" s="591"/>
      <c r="DR54" s="591"/>
      <c r="DS54" s="591"/>
      <c r="DT54" s="591"/>
      <c r="DU54" s="591"/>
      <c r="DV54" s="591"/>
      <c r="DW54" s="591"/>
      <c r="DX54" s="591"/>
      <c r="DY54" s="591"/>
      <c r="DZ54" s="591"/>
      <c r="EA54" s="591"/>
      <c r="EB54" s="591"/>
      <c r="EC54" s="591"/>
      <c r="ED54" s="591"/>
      <c r="EE54" s="591"/>
      <c r="EF54" s="591"/>
      <c r="EG54" s="591"/>
      <c r="EH54" s="591"/>
      <c r="EI54" s="591"/>
      <c r="EJ54" s="591"/>
      <c r="EK54" s="591"/>
      <c r="EL54" s="591"/>
      <c r="EM54" s="591"/>
      <c r="EN54" s="591"/>
      <c r="EO54" s="591"/>
      <c r="EP54" s="591"/>
      <c r="EQ54" s="591"/>
      <c r="ER54" s="591"/>
      <c r="ES54" s="591"/>
      <c r="ET54" s="591"/>
      <c r="EU54" s="591"/>
      <c r="EV54" s="591"/>
      <c r="EW54" s="591"/>
      <c r="EX54" s="591"/>
      <c r="EY54" s="591"/>
      <c r="EZ54" s="591"/>
      <c r="FA54" s="591"/>
      <c r="FB54" s="591"/>
      <c r="FC54" s="591"/>
      <c r="FD54" s="591"/>
      <c r="FE54" s="591"/>
      <c r="FF54" s="591"/>
      <c r="FG54" s="591"/>
      <c r="FH54" s="591"/>
      <c r="FI54" s="591"/>
      <c r="FJ54" s="591"/>
      <c r="FK54" s="591"/>
      <c r="FL54" s="591"/>
      <c r="FM54" s="591"/>
      <c r="FN54" s="591"/>
      <c r="FO54" s="591"/>
      <c r="FP54" s="591"/>
      <c r="FQ54" s="591"/>
      <c r="FR54" s="591"/>
      <c r="FS54" s="591"/>
      <c r="FT54" s="591"/>
      <c r="FU54" s="591"/>
      <c r="FV54" s="591"/>
      <c r="FW54" s="591"/>
      <c r="FX54" s="591"/>
      <c r="FY54" s="591"/>
      <c r="FZ54" s="591"/>
      <c r="GA54" s="591"/>
      <c r="GB54" s="591"/>
      <c r="GC54" s="591"/>
      <c r="GD54" s="591"/>
      <c r="GE54" s="591"/>
      <c r="GF54" s="591"/>
      <c r="GG54" s="591"/>
      <c r="GH54" s="591"/>
      <c r="GI54" s="591"/>
      <c r="GJ54" s="591"/>
      <c r="GK54" s="591"/>
      <c r="GL54" s="591"/>
      <c r="GM54" s="591"/>
      <c r="GN54" s="591"/>
      <c r="GO54" s="591"/>
      <c r="GP54" s="591"/>
      <c r="GQ54" s="591"/>
      <c r="GR54" s="591"/>
      <c r="GS54" s="591"/>
      <c r="GT54" s="591"/>
      <c r="GU54" s="591"/>
      <c r="GV54" s="591"/>
      <c r="GW54" s="591"/>
      <c r="GX54" s="591"/>
      <c r="GY54" s="591"/>
      <c r="GZ54" s="591"/>
      <c r="HA54" s="591"/>
      <c r="HB54" s="591"/>
      <c r="HC54" s="591"/>
      <c r="HD54" s="591"/>
      <c r="HE54" s="591"/>
      <c r="HF54" s="591"/>
      <c r="HG54" s="591"/>
      <c r="HH54" s="591"/>
      <c r="HI54" s="591"/>
      <c r="HJ54" s="591"/>
      <c r="HK54" s="591"/>
      <c r="HL54" s="591"/>
      <c r="HM54" s="591"/>
      <c r="HN54" s="591"/>
      <c r="HO54" s="591"/>
      <c r="HP54" s="591"/>
      <c r="HQ54" s="591"/>
      <c r="HR54" s="591"/>
      <c r="HS54" s="591"/>
      <c r="HT54" s="591"/>
      <c r="HU54" s="591"/>
      <c r="HV54" s="591"/>
      <c r="HW54" s="591"/>
      <c r="HX54" s="591"/>
      <c r="HY54" s="591"/>
      <c r="HZ54" s="591"/>
      <c r="IA54" s="591"/>
      <c r="IB54" s="591"/>
      <c r="IC54" s="591"/>
      <c r="ID54" s="591"/>
      <c r="IE54" s="591"/>
      <c r="IF54" s="591"/>
      <c r="IG54" s="591"/>
      <c r="IH54" s="591"/>
      <c r="II54" s="591"/>
      <c r="IJ54" s="591"/>
      <c r="IK54" s="591"/>
      <c r="IL54" s="591"/>
      <c r="IM54" s="591"/>
      <c r="IN54" s="591"/>
      <c r="IO54" s="591"/>
      <c r="IP54" s="591"/>
      <c r="IQ54" s="591"/>
      <c r="IR54" s="591"/>
      <c r="IS54" s="591"/>
      <c r="IT54" s="591"/>
      <c r="IU54" s="591"/>
      <c r="IV54" s="591"/>
    </row>
    <row r="55" spans="1:256" ht="39">
      <c r="A55" s="27" t="s">
        <v>348</v>
      </c>
      <c r="B55" s="535"/>
      <c r="C55" s="535" t="s">
        <v>349</v>
      </c>
      <c r="D55" s="592">
        <v>87074.6</v>
      </c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91"/>
      <c r="AS55" s="591"/>
      <c r="AT55" s="591"/>
      <c r="AU55" s="591"/>
      <c r="AV55" s="591"/>
      <c r="AW55" s="591"/>
      <c r="AX55" s="591"/>
      <c r="AY55" s="591"/>
      <c r="AZ55" s="591"/>
      <c r="BA55" s="591"/>
      <c r="BB55" s="591"/>
      <c r="BC55" s="591"/>
      <c r="BD55" s="591"/>
      <c r="BE55" s="591"/>
      <c r="BF55" s="591"/>
      <c r="BG55" s="591"/>
      <c r="BH55" s="591"/>
      <c r="BI55" s="591"/>
      <c r="BJ55" s="591"/>
      <c r="BK55" s="591"/>
      <c r="BL55" s="591"/>
      <c r="BM55" s="591"/>
      <c r="BN55" s="591"/>
      <c r="BO55" s="591"/>
      <c r="BP55" s="591"/>
      <c r="BQ55" s="591"/>
      <c r="BR55" s="591"/>
      <c r="BS55" s="591"/>
      <c r="BT55" s="591"/>
      <c r="BU55" s="591"/>
      <c r="BV55" s="591"/>
      <c r="BW55" s="591"/>
      <c r="BX55" s="591"/>
      <c r="BY55" s="591"/>
      <c r="BZ55" s="591"/>
      <c r="CA55" s="591"/>
      <c r="CB55" s="591"/>
      <c r="CC55" s="591"/>
      <c r="CD55" s="591"/>
      <c r="CE55" s="591"/>
      <c r="CF55" s="591"/>
      <c r="CG55" s="591"/>
      <c r="CH55" s="591"/>
      <c r="CI55" s="591"/>
      <c r="CJ55" s="591"/>
      <c r="CK55" s="591"/>
      <c r="CL55" s="591"/>
      <c r="CM55" s="591"/>
      <c r="CN55" s="591"/>
      <c r="CO55" s="591"/>
      <c r="CP55" s="591"/>
      <c r="CQ55" s="591"/>
      <c r="CR55" s="591"/>
      <c r="CS55" s="591"/>
      <c r="CT55" s="591"/>
      <c r="CU55" s="591"/>
      <c r="CV55" s="591"/>
      <c r="CW55" s="591"/>
      <c r="CX55" s="591"/>
      <c r="CY55" s="591"/>
      <c r="CZ55" s="591"/>
      <c r="DA55" s="591"/>
      <c r="DB55" s="591"/>
      <c r="DC55" s="591"/>
      <c r="DD55" s="591"/>
      <c r="DE55" s="591"/>
      <c r="DF55" s="591"/>
      <c r="DG55" s="591"/>
      <c r="DH55" s="591"/>
      <c r="DI55" s="591"/>
      <c r="DJ55" s="591"/>
      <c r="DK55" s="591"/>
      <c r="DL55" s="591"/>
      <c r="DM55" s="591"/>
      <c r="DN55" s="591"/>
      <c r="DO55" s="591"/>
      <c r="DP55" s="591"/>
      <c r="DQ55" s="591"/>
      <c r="DR55" s="591"/>
      <c r="DS55" s="591"/>
      <c r="DT55" s="591"/>
      <c r="DU55" s="591"/>
      <c r="DV55" s="591"/>
      <c r="DW55" s="591"/>
      <c r="DX55" s="591"/>
      <c r="DY55" s="591"/>
      <c r="DZ55" s="591"/>
      <c r="EA55" s="591"/>
      <c r="EB55" s="591"/>
      <c r="EC55" s="591"/>
      <c r="ED55" s="591"/>
      <c r="EE55" s="591"/>
      <c r="EF55" s="591"/>
      <c r="EG55" s="591"/>
      <c r="EH55" s="591"/>
      <c r="EI55" s="591"/>
      <c r="EJ55" s="591"/>
      <c r="EK55" s="591"/>
      <c r="EL55" s="591"/>
      <c r="EM55" s="591"/>
      <c r="EN55" s="591"/>
      <c r="EO55" s="591"/>
      <c r="EP55" s="591"/>
      <c r="EQ55" s="591"/>
      <c r="ER55" s="591"/>
      <c r="ES55" s="591"/>
      <c r="ET55" s="591"/>
      <c r="EU55" s="591"/>
      <c r="EV55" s="591"/>
      <c r="EW55" s="591"/>
      <c r="EX55" s="591"/>
      <c r="EY55" s="591"/>
      <c r="EZ55" s="591"/>
      <c r="FA55" s="591"/>
      <c r="FB55" s="591"/>
      <c r="FC55" s="591"/>
      <c r="FD55" s="591"/>
      <c r="FE55" s="591"/>
      <c r="FF55" s="591"/>
      <c r="FG55" s="591"/>
      <c r="FH55" s="591"/>
      <c r="FI55" s="591"/>
      <c r="FJ55" s="591"/>
      <c r="FK55" s="591"/>
      <c r="FL55" s="591"/>
      <c r="FM55" s="591"/>
      <c r="FN55" s="591"/>
      <c r="FO55" s="591"/>
      <c r="FP55" s="591"/>
      <c r="FQ55" s="591"/>
      <c r="FR55" s="591"/>
      <c r="FS55" s="591"/>
      <c r="FT55" s="591"/>
      <c r="FU55" s="591"/>
      <c r="FV55" s="591"/>
      <c r="FW55" s="591"/>
      <c r="FX55" s="591"/>
      <c r="FY55" s="591"/>
      <c r="FZ55" s="591"/>
      <c r="GA55" s="591"/>
      <c r="GB55" s="591"/>
      <c r="GC55" s="591"/>
      <c r="GD55" s="591"/>
      <c r="GE55" s="591"/>
      <c r="GF55" s="591"/>
      <c r="GG55" s="591"/>
      <c r="GH55" s="591"/>
      <c r="GI55" s="591"/>
      <c r="GJ55" s="591"/>
      <c r="GK55" s="591"/>
      <c r="GL55" s="591"/>
      <c r="GM55" s="591"/>
      <c r="GN55" s="591"/>
      <c r="GO55" s="591"/>
      <c r="GP55" s="591"/>
      <c r="GQ55" s="591"/>
      <c r="GR55" s="591"/>
      <c r="GS55" s="591"/>
      <c r="GT55" s="591"/>
      <c r="GU55" s="591"/>
      <c r="GV55" s="591"/>
      <c r="GW55" s="591"/>
      <c r="GX55" s="591"/>
      <c r="GY55" s="591"/>
      <c r="GZ55" s="591"/>
      <c r="HA55" s="591"/>
      <c r="HB55" s="591"/>
      <c r="HC55" s="591"/>
      <c r="HD55" s="591"/>
      <c r="HE55" s="591"/>
      <c r="HF55" s="591"/>
      <c r="HG55" s="591"/>
      <c r="HH55" s="591"/>
      <c r="HI55" s="591"/>
      <c r="HJ55" s="591"/>
      <c r="HK55" s="591"/>
      <c r="HL55" s="591"/>
      <c r="HM55" s="591"/>
      <c r="HN55" s="591"/>
      <c r="HO55" s="591"/>
      <c r="HP55" s="591"/>
      <c r="HQ55" s="591"/>
      <c r="HR55" s="591"/>
      <c r="HS55" s="591"/>
      <c r="HT55" s="591"/>
      <c r="HU55" s="591"/>
      <c r="HV55" s="591"/>
      <c r="HW55" s="591"/>
      <c r="HX55" s="591"/>
      <c r="HY55" s="591"/>
      <c r="HZ55" s="591"/>
      <c r="IA55" s="591"/>
      <c r="IB55" s="591"/>
      <c r="IC55" s="591"/>
      <c r="ID55" s="591"/>
      <c r="IE55" s="591"/>
      <c r="IF55" s="591"/>
      <c r="IG55" s="591"/>
      <c r="IH55" s="591"/>
      <c r="II55" s="591"/>
      <c r="IJ55" s="591"/>
      <c r="IK55" s="591"/>
      <c r="IL55" s="591"/>
      <c r="IM55" s="591"/>
      <c r="IN55" s="591"/>
      <c r="IO55" s="591"/>
      <c r="IP55" s="591"/>
      <c r="IQ55" s="591"/>
      <c r="IR55" s="591"/>
      <c r="IS55" s="591"/>
      <c r="IT55" s="591"/>
      <c r="IU55" s="591"/>
      <c r="IV55" s="591"/>
    </row>
    <row r="56" spans="1:256" ht="13.5">
      <c r="A56" s="577" t="s">
        <v>350</v>
      </c>
      <c r="B56" s="578" t="s">
        <v>351</v>
      </c>
      <c r="C56" s="535"/>
      <c r="D56" s="588">
        <f>D57+D58+D59</f>
        <v>176.8</v>
      </c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91"/>
      <c r="AS56" s="591"/>
      <c r="AT56" s="591"/>
      <c r="AU56" s="591"/>
      <c r="AV56" s="591"/>
      <c r="AW56" s="591"/>
      <c r="AX56" s="591"/>
      <c r="AY56" s="591"/>
      <c r="AZ56" s="591"/>
      <c r="BA56" s="591"/>
      <c r="BB56" s="591"/>
      <c r="BC56" s="591"/>
      <c r="BD56" s="591"/>
      <c r="BE56" s="591"/>
      <c r="BF56" s="591"/>
      <c r="BG56" s="591"/>
      <c r="BH56" s="591"/>
      <c r="BI56" s="591"/>
      <c r="BJ56" s="591"/>
      <c r="BK56" s="591"/>
      <c r="BL56" s="591"/>
      <c r="BM56" s="591"/>
      <c r="BN56" s="591"/>
      <c r="BO56" s="591"/>
      <c r="BP56" s="591"/>
      <c r="BQ56" s="591"/>
      <c r="BR56" s="591"/>
      <c r="BS56" s="591"/>
      <c r="BT56" s="591"/>
      <c r="BU56" s="591"/>
      <c r="BV56" s="591"/>
      <c r="BW56" s="591"/>
      <c r="BX56" s="591"/>
      <c r="BY56" s="591"/>
      <c r="BZ56" s="591"/>
      <c r="CA56" s="591"/>
      <c r="CB56" s="591"/>
      <c r="CC56" s="591"/>
      <c r="CD56" s="591"/>
      <c r="CE56" s="591"/>
      <c r="CF56" s="591"/>
      <c r="CG56" s="591"/>
      <c r="CH56" s="591"/>
      <c r="CI56" s="591"/>
      <c r="CJ56" s="591"/>
      <c r="CK56" s="591"/>
      <c r="CL56" s="591"/>
      <c r="CM56" s="591"/>
      <c r="CN56" s="591"/>
      <c r="CO56" s="591"/>
      <c r="CP56" s="591"/>
      <c r="CQ56" s="591"/>
      <c r="CR56" s="591"/>
      <c r="CS56" s="591"/>
      <c r="CT56" s="591"/>
      <c r="CU56" s="591"/>
      <c r="CV56" s="591"/>
      <c r="CW56" s="591"/>
      <c r="CX56" s="591"/>
      <c r="CY56" s="591"/>
      <c r="CZ56" s="591"/>
      <c r="DA56" s="591"/>
      <c r="DB56" s="591"/>
      <c r="DC56" s="591"/>
      <c r="DD56" s="591"/>
      <c r="DE56" s="591"/>
      <c r="DF56" s="591"/>
      <c r="DG56" s="591"/>
      <c r="DH56" s="591"/>
      <c r="DI56" s="591"/>
      <c r="DJ56" s="591"/>
      <c r="DK56" s="591"/>
      <c r="DL56" s="591"/>
      <c r="DM56" s="591"/>
      <c r="DN56" s="591"/>
      <c r="DO56" s="591"/>
      <c r="DP56" s="591"/>
      <c r="DQ56" s="591"/>
      <c r="DR56" s="591"/>
      <c r="DS56" s="591"/>
      <c r="DT56" s="591"/>
      <c r="DU56" s="591"/>
      <c r="DV56" s="591"/>
      <c r="DW56" s="591"/>
      <c r="DX56" s="591"/>
      <c r="DY56" s="591"/>
      <c r="DZ56" s="591"/>
      <c r="EA56" s="591"/>
      <c r="EB56" s="591"/>
      <c r="EC56" s="591"/>
      <c r="ED56" s="591"/>
      <c r="EE56" s="591"/>
      <c r="EF56" s="591"/>
      <c r="EG56" s="591"/>
      <c r="EH56" s="591"/>
      <c r="EI56" s="591"/>
      <c r="EJ56" s="591"/>
      <c r="EK56" s="591"/>
      <c r="EL56" s="591"/>
      <c r="EM56" s="591"/>
      <c r="EN56" s="591"/>
      <c r="EO56" s="591"/>
      <c r="EP56" s="591"/>
      <c r="EQ56" s="591"/>
      <c r="ER56" s="591"/>
      <c r="ES56" s="591"/>
      <c r="ET56" s="591"/>
      <c r="EU56" s="591"/>
      <c r="EV56" s="591"/>
      <c r="EW56" s="591"/>
      <c r="EX56" s="591"/>
      <c r="EY56" s="591"/>
      <c r="EZ56" s="591"/>
      <c r="FA56" s="591"/>
      <c r="FB56" s="591"/>
      <c r="FC56" s="591"/>
      <c r="FD56" s="591"/>
      <c r="FE56" s="591"/>
      <c r="FF56" s="591"/>
      <c r="FG56" s="591"/>
      <c r="FH56" s="591"/>
      <c r="FI56" s="591"/>
      <c r="FJ56" s="591"/>
      <c r="FK56" s="591"/>
      <c r="FL56" s="591"/>
      <c r="FM56" s="591"/>
      <c r="FN56" s="591"/>
      <c r="FO56" s="591"/>
      <c r="FP56" s="591"/>
      <c r="FQ56" s="591"/>
      <c r="FR56" s="591"/>
      <c r="FS56" s="591"/>
      <c r="FT56" s="591"/>
      <c r="FU56" s="591"/>
      <c r="FV56" s="591"/>
      <c r="FW56" s="591"/>
      <c r="FX56" s="591"/>
      <c r="FY56" s="591"/>
      <c r="FZ56" s="591"/>
      <c r="GA56" s="591"/>
      <c r="GB56" s="591"/>
      <c r="GC56" s="591"/>
      <c r="GD56" s="591"/>
      <c r="GE56" s="591"/>
      <c r="GF56" s="591"/>
      <c r="GG56" s="591"/>
      <c r="GH56" s="591"/>
      <c r="GI56" s="591"/>
      <c r="GJ56" s="591"/>
      <c r="GK56" s="591"/>
      <c r="GL56" s="591"/>
      <c r="GM56" s="591"/>
      <c r="GN56" s="591"/>
      <c r="GO56" s="591"/>
      <c r="GP56" s="591"/>
      <c r="GQ56" s="591"/>
      <c r="GR56" s="591"/>
      <c r="GS56" s="591"/>
      <c r="GT56" s="591"/>
      <c r="GU56" s="591"/>
      <c r="GV56" s="591"/>
      <c r="GW56" s="591"/>
      <c r="GX56" s="591"/>
      <c r="GY56" s="591"/>
      <c r="GZ56" s="591"/>
      <c r="HA56" s="591"/>
      <c r="HB56" s="591"/>
      <c r="HC56" s="591"/>
      <c r="HD56" s="591"/>
      <c r="HE56" s="591"/>
      <c r="HF56" s="591"/>
      <c r="HG56" s="591"/>
      <c r="HH56" s="591"/>
      <c r="HI56" s="591"/>
      <c r="HJ56" s="591"/>
      <c r="HK56" s="591"/>
      <c r="HL56" s="591"/>
      <c r="HM56" s="591"/>
      <c r="HN56" s="591"/>
      <c r="HO56" s="591"/>
      <c r="HP56" s="591"/>
      <c r="HQ56" s="591"/>
      <c r="HR56" s="591"/>
      <c r="HS56" s="591"/>
      <c r="HT56" s="591"/>
      <c r="HU56" s="591"/>
      <c r="HV56" s="591"/>
      <c r="HW56" s="591"/>
      <c r="HX56" s="591"/>
      <c r="HY56" s="591"/>
      <c r="HZ56" s="591"/>
      <c r="IA56" s="591"/>
      <c r="IB56" s="591"/>
      <c r="IC56" s="591"/>
      <c r="ID56" s="591"/>
      <c r="IE56" s="591"/>
      <c r="IF56" s="591"/>
      <c r="IG56" s="591"/>
      <c r="IH56" s="591"/>
      <c r="II56" s="591"/>
      <c r="IJ56" s="591"/>
      <c r="IK56" s="591"/>
      <c r="IL56" s="591"/>
      <c r="IM56" s="591"/>
      <c r="IN56" s="591"/>
      <c r="IO56" s="591"/>
      <c r="IP56" s="591"/>
      <c r="IQ56" s="591"/>
      <c r="IR56" s="591"/>
      <c r="IS56" s="591"/>
      <c r="IT56" s="591"/>
      <c r="IU56" s="591"/>
      <c r="IV56" s="591"/>
    </row>
    <row r="57" spans="1:256" ht="26.25">
      <c r="A57" s="27" t="s">
        <v>904</v>
      </c>
      <c r="B57" s="535"/>
      <c r="C57" s="535" t="s">
        <v>352</v>
      </c>
      <c r="D57" s="592">
        <v>0</v>
      </c>
      <c r="E57" s="591"/>
      <c r="F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91"/>
      <c r="AS57" s="591"/>
      <c r="AT57" s="591"/>
      <c r="AU57" s="591"/>
      <c r="AV57" s="591"/>
      <c r="AW57" s="591"/>
      <c r="AX57" s="591"/>
      <c r="AY57" s="591"/>
      <c r="AZ57" s="591"/>
      <c r="BA57" s="591"/>
      <c r="BB57" s="591"/>
      <c r="BC57" s="591"/>
      <c r="BD57" s="591"/>
      <c r="BE57" s="591"/>
      <c r="BF57" s="591"/>
      <c r="BG57" s="591"/>
      <c r="BH57" s="591"/>
      <c r="BI57" s="591"/>
      <c r="BJ57" s="591"/>
      <c r="BK57" s="591"/>
      <c r="BL57" s="591"/>
      <c r="BM57" s="591"/>
      <c r="BN57" s="591"/>
      <c r="BO57" s="591"/>
      <c r="BP57" s="591"/>
      <c r="BQ57" s="591"/>
      <c r="BR57" s="591"/>
      <c r="BS57" s="591"/>
      <c r="BT57" s="591"/>
      <c r="BU57" s="591"/>
      <c r="BV57" s="591"/>
      <c r="BW57" s="591"/>
      <c r="BX57" s="591"/>
      <c r="BY57" s="591"/>
      <c r="BZ57" s="591"/>
      <c r="CA57" s="591"/>
      <c r="CB57" s="591"/>
      <c r="CC57" s="591"/>
      <c r="CD57" s="591"/>
      <c r="CE57" s="591"/>
      <c r="CF57" s="591"/>
      <c r="CG57" s="591"/>
      <c r="CH57" s="591"/>
      <c r="CI57" s="591"/>
      <c r="CJ57" s="591"/>
      <c r="CK57" s="591"/>
      <c r="CL57" s="591"/>
      <c r="CM57" s="591"/>
      <c r="CN57" s="591"/>
      <c r="CO57" s="591"/>
      <c r="CP57" s="591"/>
      <c r="CQ57" s="591"/>
      <c r="CR57" s="591"/>
      <c r="CS57" s="591"/>
      <c r="CT57" s="591"/>
      <c r="CU57" s="591"/>
      <c r="CV57" s="591"/>
      <c r="CW57" s="591"/>
      <c r="CX57" s="591"/>
      <c r="CY57" s="591"/>
      <c r="CZ57" s="591"/>
      <c r="DA57" s="591"/>
      <c r="DB57" s="591"/>
      <c r="DC57" s="591"/>
      <c r="DD57" s="591"/>
      <c r="DE57" s="591"/>
      <c r="DF57" s="591"/>
      <c r="DG57" s="591"/>
      <c r="DH57" s="591"/>
      <c r="DI57" s="591"/>
      <c r="DJ57" s="591"/>
      <c r="DK57" s="591"/>
      <c r="DL57" s="591"/>
      <c r="DM57" s="591"/>
      <c r="DN57" s="591"/>
      <c r="DO57" s="591"/>
      <c r="DP57" s="591"/>
      <c r="DQ57" s="591"/>
      <c r="DR57" s="591"/>
      <c r="DS57" s="591"/>
      <c r="DT57" s="591"/>
      <c r="DU57" s="591"/>
      <c r="DV57" s="591"/>
      <c r="DW57" s="591"/>
      <c r="DX57" s="591"/>
      <c r="DY57" s="591"/>
      <c r="DZ57" s="591"/>
      <c r="EA57" s="591"/>
      <c r="EB57" s="591"/>
      <c r="EC57" s="591"/>
      <c r="ED57" s="591"/>
      <c r="EE57" s="591"/>
      <c r="EF57" s="591"/>
      <c r="EG57" s="591"/>
      <c r="EH57" s="591"/>
      <c r="EI57" s="591"/>
      <c r="EJ57" s="591"/>
      <c r="EK57" s="591"/>
      <c r="EL57" s="591"/>
      <c r="EM57" s="591"/>
      <c r="EN57" s="591"/>
      <c r="EO57" s="591"/>
      <c r="EP57" s="591"/>
      <c r="EQ57" s="591"/>
      <c r="ER57" s="591"/>
      <c r="ES57" s="591"/>
      <c r="ET57" s="591"/>
      <c r="EU57" s="591"/>
      <c r="EV57" s="591"/>
      <c r="EW57" s="591"/>
      <c r="EX57" s="591"/>
      <c r="EY57" s="591"/>
      <c r="EZ57" s="591"/>
      <c r="FA57" s="591"/>
      <c r="FB57" s="591"/>
      <c r="FC57" s="591"/>
      <c r="FD57" s="591"/>
      <c r="FE57" s="591"/>
      <c r="FF57" s="591"/>
      <c r="FG57" s="591"/>
      <c r="FH57" s="591"/>
      <c r="FI57" s="591"/>
      <c r="FJ57" s="591"/>
      <c r="FK57" s="591"/>
      <c r="FL57" s="591"/>
      <c r="FM57" s="591"/>
      <c r="FN57" s="591"/>
      <c r="FO57" s="591"/>
      <c r="FP57" s="591"/>
      <c r="FQ57" s="591"/>
      <c r="FR57" s="591"/>
      <c r="FS57" s="591"/>
      <c r="FT57" s="591"/>
      <c r="FU57" s="591"/>
      <c r="FV57" s="591"/>
      <c r="FW57" s="591"/>
      <c r="FX57" s="591"/>
      <c r="FY57" s="591"/>
      <c r="FZ57" s="591"/>
      <c r="GA57" s="591"/>
      <c r="GB57" s="591"/>
      <c r="GC57" s="591"/>
      <c r="GD57" s="591"/>
      <c r="GE57" s="591"/>
      <c r="GF57" s="591"/>
      <c r="GG57" s="591"/>
      <c r="GH57" s="591"/>
      <c r="GI57" s="591"/>
      <c r="GJ57" s="591"/>
      <c r="GK57" s="591"/>
      <c r="GL57" s="591"/>
      <c r="GM57" s="591"/>
      <c r="GN57" s="591"/>
      <c r="GO57" s="591"/>
      <c r="GP57" s="591"/>
      <c r="GQ57" s="591"/>
      <c r="GR57" s="591"/>
      <c r="GS57" s="591"/>
      <c r="GT57" s="591"/>
      <c r="GU57" s="591"/>
      <c r="GV57" s="591"/>
      <c r="GW57" s="591"/>
      <c r="GX57" s="591"/>
      <c r="GY57" s="591"/>
      <c r="GZ57" s="591"/>
      <c r="HA57" s="591"/>
      <c r="HB57" s="591"/>
      <c r="HC57" s="591"/>
      <c r="HD57" s="591"/>
      <c r="HE57" s="591"/>
      <c r="HF57" s="591"/>
      <c r="HG57" s="591"/>
      <c r="HH57" s="591"/>
      <c r="HI57" s="591"/>
      <c r="HJ57" s="591"/>
      <c r="HK57" s="591"/>
      <c r="HL57" s="591"/>
      <c r="HM57" s="591"/>
      <c r="HN57" s="591"/>
      <c r="HO57" s="591"/>
      <c r="HP57" s="591"/>
      <c r="HQ57" s="591"/>
      <c r="HR57" s="591"/>
      <c r="HS57" s="591"/>
      <c r="HT57" s="591"/>
      <c r="HU57" s="591"/>
      <c r="HV57" s="591"/>
      <c r="HW57" s="591"/>
      <c r="HX57" s="591"/>
      <c r="HY57" s="591"/>
      <c r="HZ57" s="591"/>
      <c r="IA57" s="591"/>
      <c r="IB57" s="591"/>
      <c r="IC57" s="591"/>
      <c r="ID57" s="591"/>
      <c r="IE57" s="591"/>
      <c r="IF57" s="591"/>
      <c r="IG57" s="591"/>
      <c r="IH57" s="591"/>
      <c r="II57" s="591"/>
      <c r="IJ57" s="591"/>
      <c r="IK57" s="591"/>
      <c r="IL57" s="591"/>
      <c r="IM57" s="591"/>
      <c r="IN57" s="591"/>
      <c r="IO57" s="591"/>
      <c r="IP57" s="591"/>
      <c r="IQ57" s="591"/>
      <c r="IR57" s="591"/>
      <c r="IS57" s="591"/>
      <c r="IT57" s="591"/>
      <c r="IU57" s="591"/>
      <c r="IV57" s="591"/>
    </row>
    <row r="58" spans="1:256" ht="26.25">
      <c r="A58" s="27" t="s">
        <v>1276</v>
      </c>
      <c r="B58" s="535"/>
      <c r="C58" s="535" t="s">
        <v>353</v>
      </c>
      <c r="D58" s="592">
        <v>176.8</v>
      </c>
      <c r="E58" s="591"/>
      <c r="F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91"/>
      <c r="AS58" s="591"/>
      <c r="AT58" s="591"/>
      <c r="AU58" s="591"/>
      <c r="AV58" s="591"/>
      <c r="AW58" s="591"/>
      <c r="AX58" s="591"/>
      <c r="AY58" s="591"/>
      <c r="AZ58" s="591"/>
      <c r="BA58" s="591"/>
      <c r="BB58" s="591"/>
      <c r="BC58" s="591"/>
      <c r="BD58" s="591"/>
      <c r="BE58" s="591"/>
      <c r="BF58" s="591"/>
      <c r="BG58" s="591"/>
      <c r="BH58" s="591"/>
      <c r="BI58" s="591"/>
      <c r="BJ58" s="591"/>
      <c r="BK58" s="591"/>
      <c r="BL58" s="591"/>
      <c r="BM58" s="591"/>
      <c r="BN58" s="591"/>
      <c r="BO58" s="591"/>
      <c r="BP58" s="591"/>
      <c r="BQ58" s="591"/>
      <c r="BR58" s="591"/>
      <c r="BS58" s="591"/>
      <c r="BT58" s="591"/>
      <c r="BU58" s="591"/>
      <c r="BV58" s="591"/>
      <c r="BW58" s="591"/>
      <c r="BX58" s="591"/>
      <c r="BY58" s="591"/>
      <c r="BZ58" s="591"/>
      <c r="CA58" s="591"/>
      <c r="CB58" s="591"/>
      <c r="CC58" s="591"/>
      <c r="CD58" s="591"/>
      <c r="CE58" s="591"/>
      <c r="CF58" s="591"/>
      <c r="CG58" s="591"/>
      <c r="CH58" s="591"/>
      <c r="CI58" s="591"/>
      <c r="CJ58" s="591"/>
      <c r="CK58" s="591"/>
      <c r="CL58" s="591"/>
      <c r="CM58" s="591"/>
      <c r="CN58" s="591"/>
      <c r="CO58" s="591"/>
      <c r="CP58" s="591"/>
      <c r="CQ58" s="591"/>
      <c r="CR58" s="591"/>
      <c r="CS58" s="591"/>
      <c r="CT58" s="591"/>
      <c r="CU58" s="591"/>
      <c r="CV58" s="591"/>
      <c r="CW58" s="591"/>
      <c r="CX58" s="591"/>
      <c r="CY58" s="591"/>
      <c r="CZ58" s="591"/>
      <c r="DA58" s="591"/>
      <c r="DB58" s="591"/>
      <c r="DC58" s="591"/>
      <c r="DD58" s="591"/>
      <c r="DE58" s="591"/>
      <c r="DF58" s="591"/>
      <c r="DG58" s="591"/>
      <c r="DH58" s="591"/>
      <c r="DI58" s="591"/>
      <c r="DJ58" s="591"/>
      <c r="DK58" s="591"/>
      <c r="DL58" s="591"/>
      <c r="DM58" s="591"/>
      <c r="DN58" s="591"/>
      <c r="DO58" s="591"/>
      <c r="DP58" s="591"/>
      <c r="DQ58" s="591"/>
      <c r="DR58" s="591"/>
      <c r="DS58" s="591"/>
      <c r="DT58" s="591"/>
      <c r="DU58" s="591"/>
      <c r="DV58" s="591"/>
      <c r="DW58" s="591"/>
      <c r="DX58" s="591"/>
      <c r="DY58" s="591"/>
      <c r="DZ58" s="591"/>
      <c r="EA58" s="591"/>
      <c r="EB58" s="591"/>
      <c r="EC58" s="591"/>
      <c r="ED58" s="591"/>
      <c r="EE58" s="591"/>
      <c r="EF58" s="591"/>
      <c r="EG58" s="591"/>
      <c r="EH58" s="591"/>
      <c r="EI58" s="591"/>
      <c r="EJ58" s="591"/>
      <c r="EK58" s="591"/>
      <c r="EL58" s="591"/>
      <c r="EM58" s="591"/>
      <c r="EN58" s="591"/>
      <c r="EO58" s="591"/>
      <c r="EP58" s="591"/>
      <c r="EQ58" s="591"/>
      <c r="ER58" s="591"/>
      <c r="ES58" s="591"/>
      <c r="ET58" s="591"/>
      <c r="EU58" s="591"/>
      <c r="EV58" s="591"/>
      <c r="EW58" s="591"/>
      <c r="EX58" s="591"/>
      <c r="EY58" s="591"/>
      <c r="EZ58" s="591"/>
      <c r="FA58" s="591"/>
      <c r="FB58" s="591"/>
      <c r="FC58" s="591"/>
      <c r="FD58" s="591"/>
      <c r="FE58" s="591"/>
      <c r="FF58" s="591"/>
      <c r="FG58" s="591"/>
      <c r="FH58" s="591"/>
      <c r="FI58" s="591"/>
      <c r="FJ58" s="591"/>
      <c r="FK58" s="591"/>
      <c r="FL58" s="591"/>
      <c r="FM58" s="591"/>
      <c r="FN58" s="591"/>
      <c r="FO58" s="591"/>
      <c r="FP58" s="591"/>
      <c r="FQ58" s="591"/>
      <c r="FR58" s="591"/>
      <c r="FS58" s="591"/>
      <c r="FT58" s="591"/>
      <c r="FU58" s="591"/>
      <c r="FV58" s="591"/>
      <c r="FW58" s="591"/>
      <c r="FX58" s="591"/>
      <c r="FY58" s="591"/>
      <c r="FZ58" s="591"/>
      <c r="GA58" s="591"/>
      <c r="GB58" s="591"/>
      <c r="GC58" s="591"/>
      <c r="GD58" s="591"/>
      <c r="GE58" s="591"/>
      <c r="GF58" s="591"/>
      <c r="GG58" s="591"/>
      <c r="GH58" s="591"/>
      <c r="GI58" s="591"/>
      <c r="GJ58" s="591"/>
      <c r="GK58" s="591"/>
      <c r="GL58" s="591"/>
      <c r="GM58" s="591"/>
      <c r="GN58" s="591"/>
      <c r="GO58" s="591"/>
      <c r="GP58" s="591"/>
      <c r="GQ58" s="591"/>
      <c r="GR58" s="591"/>
      <c r="GS58" s="591"/>
      <c r="GT58" s="591"/>
      <c r="GU58" s="591"/>
      <c r="GV58" s="591"/>
      <c r="GW58" s="591"/>
      <c r="GX58" s="591"/>
      <c r="GY58" s="591"/>
      <c r="GZ58" s="591"/>
      <c r="HA58" s="591"/>
      <c r="HB58" s="591"/>
      <c r="HC58" s="591"/>
      <c r="HD58" s="591"/>
      <c r="HE58" s="591"/>
      <c r="HF58" s="591"/>
      <c r="HG58" s="591"/>
      <c r="HH58" s="591"/>
      <c r="HI58" s="591"/>
      <c r="HJ58" s="591"/>
      <c r="HK58" s="591"/>
      <c r="HL58" s="591"/>
      <c r="HM58" s="591"/>
      <c r="HN58" s="591"/>
      <c r="HO58" s="591"/>
      <c r="HP58" s="591"/>
      <c r="HQ58" s="591"/>
      <c r="HR58" s="591"/>
      <c r="HS58" s="591"/>
      <c r="HT58" s="591"/>
      <c r="HU58" s="591"/>
      <c r="HV58" s="591"/>
      <c r="HW58" s="591"/>
      <c r="HX58" s="591"/>
      <c r="HY58" s="591"/>
      <c r="HZ58" s="591"/>
      <c r="IA58" s="591"/>
      <c r="IB58" s="591"/>
      <c r="IC58" s="591"/>
      <c r="ID58" s="591"/>
      <c r="IE58" s="591"/>
      <c r="IF58" s="591"/>
      <c r="IG58" s="591"/>
      <c r="IH58" s="591"/>
      <c r="II58" s="591"/>
      <c r="IJ58" s="591"/>
      <c r="IK58" s="591"/>
      <c r="IL58" s="591"/>
      <c r="IM58" s="591"/>
      <c r="IN58" s="591"/>
      <c r="IO58" s="591"/>
      <c r="IP58" s="591"/>
      <c r="IQ58" s="591"/>
      <c r="IR58" s="591"/>
      <c r="IS58" s="591"/>
      <c r="IT58" s="591"/>
      <c r="IU58" s="591"/>
      <c r="IV58" s="591"/>
    </row>
    <row r="59" spans="1:256" ht="26.25">
      <c r="A59" s="27" t="s">
        <v>277</v>
      </c>
      <c r="B59" s="535"/>
      <c r="C59" s="535" t="s">
        <v>765</v>
      </c>
      <c r="D59" s="592">
        <v>0</v>
      </c>
      <c r="E59" s="591"/>
      <c r="F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91"/>
      <c r="AS59" s="591"/>
      <c r="AT59" s="591"/>
      <c r="AU59" s="591"/>
      <c r="AV59" s="591"/>
      <c r="AW59" s="591"/>
      <c r="AX59" s="591"/>
      <c r="AY59" s="591"/>
      <c r="AZ59" s="591"/>
      <c r="BA59" s="591"/>
      <c r="BB59" s="591"/>
      <c r="BC59" s="591"/>
      <c r="BD59" s="591"/>
      <c r="BE59" s="591"/>
      <c r="BF59" s="591"/>
      <c r="BG59" s="591"/>
      <c r="BH59" s="591"/>
      <c r="BI59" s="591"/>
      <c r="BJ59" s="591"/>
      <c r="BK59" s="591"/>
      <c r="BL59" s="591"/>
      <c r="BM59" s="591"/>
      <c r="BN59" s="591"/>
      <c r="BO59" s="591"/>
      <c r="BP59" s="591"/>
      <c r="BQ59" s="591"/>
      <c r="BR59" s="591"/>
      <c r="BS59" s="591"/>
      <c r="BT59" s="591"/>
      <c r="BU59" s="591"/>
      <c r="BV59" s="591"/>
      <c r="BW59" s="591"/>
      <c r="BX59" s="591"/>
      <c r="BY59" s="591"/>
      <c r="BZ59" s="591"/>
      <c r="CA59" s="591"/>
      <c r="CB59" s="591"/>
      <c r="CC59" s="591"/>
      <c r="CD59" s="591"/>
      <c r="CE59" s="591"/>
      <c r="CF59" s="591"/>
      <c r="CG59" s="591"/>
      <c r="CH59" s="591"/>
      <c r="CI59" s="591"/>
      <c r="CJ59" s="591"/>
      <c r="CK59" s="591"/>
      <c r="CL59" s="591"/>
      <c r="CM59" s="591"/>
      <c r="CN59" s="591"/>
      <c r="CO59" s="591"/>
      <c r="CP59" s="591"/>
      <c r="CQ59" s="591"/>
      <c r="CR59" s="591"/>
      <c r="CS59" s="591"/>
      <c r="CT59" s="591"/>
      <c r="CU59" s="591"/>
      <c r="CV59" s="591"/>
      <c r="CW59" s="591"/>
      <c r="CX59" s="591"/>
      <c r="CY59" s="591"/>
      <c r="CZ59" s="591"/>
      <c r="DA59" s="591"/>
      <c r="DB59" s="591"/>
      <c r="DC59" s="591"/>
      <c r="DD59" s="591"/>
      <c r="DE59" s="591"/>
      <c r="DF59" s="591"/>
      <c r="DG59" s="591"/>
      <c r="DH59" s="591"/>
      <c r="DI59" s="591"/>
      <c r="DJ59" s="591"/>
      <c r="DK59" s="591"/>
      <c r="DL59" s="591"/>
      <c r="DM59" s="591"/>
      <c r="DN59" s="591"/>
      <c r="DO59" s="591"/>
      <c r="DP59" s="591"/>
      <c r="DQ59" s="591"/>
      <c r="DR59" s="591"/>
      <c r="DS59" s="591"/>
      <c r="DT59" s="591"/>
      <c r="DU59" s="591"/>
      <c r="DV59" s="591"/>
      <c r="DW59" s="591"/>
      <c r="DX59" s="591"/>
      <c r="DY59" s="591"/>
      <c r="DZ59" s="591"/>
      <c r="EA59" s="591"/>
      <c r="EB59" s="591"/>
      <c r="EC59" s="591"/>
      <c r="ED59" s="591"/>
      <c r="EE59" s="591"/>
      <c r="EF59" s="591"/>
      <c r="EG59" s="591"/>
      <c r="EH59" s="591"/>
      <c r="EI59" s="591"/>
      <c r="EJ59" s="591"/>
      <c r="EK59" s="591"/>
      <c r="EL59" s="591"/>
      <c r="EM59" s="591"/>
      <c r="EN59" s="591"/>
      <c r="EO59" s="591"/>
      <c r="EP59" s="591"/>
      <c r="EQ59" s="591"/>
      <c r="ER59" s="591"/>
      <c r="ES59" s="591"/>
      <c r="ET59" s="591"/>
      <c r="EU59" s="591"/>
      <c r="EV59" s="591"/>
      <c r="EW59" s="591"/>
      <c r="EX59" s="591"/>
      <c r="EY59" s="591"/>
      <c r="EZ59" s="591"/>
      <c r="FA59" s="591"/>
      <c r="FB59" s="591"/>
      <c r="FC59" s="591"/>
      <c r="FD59" s="591"/>
      <c r="FE59" s="591"/>
      <c r="FF59" s="591"/>
      <c r="FG59" s="591"/>
      <c r="FH59" s="591"/>
      <c r="FI59" s="591"/>
      <c r="FJ59" s="591"/>
      <c r="FK59" s="591"/>
      <c r="FL59" s="591"/>
      <c r="FM59" s="591"/>
      <c r="FN59" s="591"/>
      <c r="FO59" s="591"/>
      <c r="FP59" s="591"/>
      <c r="FQ59" s="591"/>
      <c r="FR59" s="591"/>
      <c r="FS59" s="591"/>
      <c r="FT59" s="591"/>
      <c r="FU59" s="591"/>
      <c r="FV59" s="591"/>
      <c r="FW59" s="591"/>
      <c r="FX59" s="591"/>
      <c r="FY59" s="591"/>
      <c r="FZ59" s="591"/>
      <c r="GA59" s="591"/>
      <c r="GB59" s="591"/>
      <c r="GC59" s="591"/>
      <c r="GD59" s="591"/>
      <c r="GE59" s="591"/>
      <c r="GF59" s="591"/>
      <c r="GG59" s="591"/>
      <c r="GH59" s="591"/>
      <c r="GI59" s="591"/>
      <c r="GJ59" s="591"/>
      <c r="GK59" s="591"/>
      <c r="GL59" s="591"/>
      <c r="GM59" s="591"/>
      <c r="GN59" s="591"/>
      <c r="GO59" s="591"/>
      <c r="GP59" s="591"/>
      <c r="GQ59" s="591"/>
      <c r="GR59" s="591"/>
      <c r="GS59" s="591"/>
      <c r="GT59" s="591"/>
      <c r="GU59" s="591"/>
      <c r="GV59" s="591"/>
      <c r="GW59" s="591"/>
      <c r="GX59" s="591"/>
      <c r="GY59" s="591"/>
      <c r="GZ59" s="591"/>
      <c r="HA59" s="591"/>
      <c r="HB59" s="591"/>
      <c r="HC59" s="591"/>
      <c r="HD59" s="591"/>
      <c r="HE59" s="591"/>
      <c r="HF59" s="591"/>
      <c r="HG59" s="591"/>
      <c r="HH59" s="591"/>
      <c r="HI59" s="591"/>
      <c r="HJ59" s="591"/>
      <c r="HK59" s="591"/>
      <c r="HL59" s="591"/>
      <c r="HM59" s="591"/>
      <c r="HN59" s="591"/>
      <c r="HO59" s="591"/>
      <c r="HP59" s="591"/>
      <c r="HQ59" s="591"/>
      <c r="HR59" s="591"/>
      <c r="HS59" s="591"/>
      <c r="HT59" s="591"/>
      <c r="HU59" s="591"/>
      <c r="HV59" s="591"/>
      <c r="HW59" s="591"/>
      <c r="HX59" s="591"/>
      <c r="HY59" s="591"/>
      <c r="HZ59" s="591"/>
      <c r="IA59" s="591"/>
      <c r="IB59" s="591"/>
      <c r="IC59" s="591"/>
      <c r="ID59" s="591"/>
      <c r="IE59" s="591"/>
      <c r="IF59" s="591"/>
      <c r="IG59" s="591"/>
      <c r="IH59" s="591"/>
      <c r="II59" s="591"/>
      <c r="IJ59" s="591"/>
      <c r="IK59" s="591"/>
      <c r="IL59" s="591"/>
      <c r="IM59" s="591"/>
      <c r="IN59" s="591"/>
      <c r="IO59" s="591"/>
      <c r="IP59" s="591"/>
      <c r="IQ59" s="591"/>
      <c r="IR59" s="591"/>
      <c r="IS59" s="591"/>
      <c r="IT59" s="591"/>
      <c r="IU59" s="591"/>
      <c r="IV59" s="591"/>
    </row>
    <row r="60" spans="1:256" ht="26.25">
      <c r="A60" s="577" t="s">
        <v>354</v>
      </c>
      <c r="B60" s="578" t="s">
        <v>355</v>
      </c>
      <c r="C60" s="535"/>
      <c r="D60" s="588">
        <f>SUM(D61:D70)</f>
        <v>1613759.2</v>
      </c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91"/>
      <c r="AS60" s="591"/>
      <c r="AT60" s="591"/>
      <c r="AU60" s="591"/>
      <c r="AV60" s="591"/>
      <c r="AW60" s="591"/>
      <c r="AX60" s="591"/>
      <c r="AY60" s="591"/>
      <c r="AZ60" s="591"/>
      <c r="BA60" s="591"/>
      <c r="BB60" s="591"/>
      <c r="BC60" s="591"/>
      <c r="BD60" s="591"/>
      <c r="BE60" s="591"/>
      <c r="BF60" s="591"/>
      <c r="BG60" s="591"/>
      <c r="BH60" s="591"/>
      <c r="BI60" s="591"/>
      <c r="BJ60" s="591"/>
      <c r="BK60" s="591"/>
      <c r="BL60" s="591"/>
      <c r="BM60" s="591"/>
      <c r="BN60" s="591"/>
      <c r="BO60" s="591"/>
      <c r="BP60" s="591"/>
      <c r="BQ60" s="591"/>
      <c r="BR60" s="591"/>
      <c r="BS60" s="591"/>
      <c r="BT60" s="591"/>
      <c r="BU60" s="591"/>
      <c r="BV60" s="591"/>
      <c r="BW60" s="591"/>
      <c r="BX60" s="591"/>
      <c r="BY60" s="591"/>
      <c r="BZ60" s="591"/>
      <c r="CA60" s="591"/>
      <c r="CB60" s="591"/>
      <c r="CC60" s="591"/>
      <c r="CD60" s="591"/>
      <c r="CE60" s="591"/>
      <c r="CF60" s="591"/>
      <c r="CG60" s="591"/>
      <c r="CH60" s="591"/>
      <c r="CI60" s="591"/>
      <c r="CJ60" s="591"/>
      <c r="CK60" s="591"/>
      <c r="CL60" s="591"/>
      <c r="CM60" s="591"/>
      <c r="CN60" s="591"/>
      <c r="CO60" s="591"/>
      <c r="CP60" s="591"/>
      <c r="CQ60" s="591"/>
      <c r="CR60" s="591"/>
      <c r="CS60" s="591"/>
      <c r="CT60" s="591"/>
      <c r="CU60" s="591"/>
      <c r="CV60" s="591"/>
      <c r="CW60" s="591"/>
      <c r="CX60" s="591"/>
      <c r="CY60" s="591"/>
      <c r="CZ60" s="591"/>
      <c r="DA60" s="591"/>
      <c r="DB60" s="591"/>
      <c r="DC60" s="591"/>
      <c r="DD60" s="591"/>
      <c r="DE60" s="591"/>
      <c r="DF60" s="591"/>
      <c r="DG60" s="591"/>
      <c r="DH60" s="591"/>
      <c r="DI60" s="591"/>
      <c r="DJ60" s="591"/>
      <c r="DK60" s="591"/>
      <c r="DL60" s="591"/>
      <c r="DM60" s="591"/>
      <c r="DN60" s="591"/>
      <c r="DO60" s="591"/>
      <c r="DP60" s="591"/>
      <c r="DQ60" s="591"/>
      <c r="DR60" s="591"/>
      <c r="DS60" s="591"/>
      <c r="DT60" s="591"/>
      <c r="DU60" s="591"/>
      <c r="DV60" s="591"/>
      <c r="DW60" s="591"/>
      <c r="DX60" s="591"/>
      <c r="DY60" s="591"/>
      <c r="DZ60" s="591"/>
      <c r="EA60" s="591"/>
      <c r="EB60" s="591"/>
      <c r="EC60" s="591"/>
      <c r="ED60" s="591"/>
      <c r="EE60" s="591"/>
      <c r="EF60" s="591"/>
      <c r="EG60" s="591"/>
      <c r="EH60" s="591"/>
      <c r="EI60" s="591"/>
      <c r="EJ60" s="591"/>
      <c r="EK60" s="591"/>
      <c r="EL60" s="591"/>
      <c r="EM60" s="591"/>
      <c r="EN60" s="591"/>
      <c r="EO60" s="591"/>
      <c r="EP60" s="591"/>
      <c r="EQ60" s="591"/>
      <c r="ER60" s="591"/>
      <c r="ES60" s="591"/>
      <c r="ET60" s="591"/>
      <c r="EU60" s="591"/>
      <c r="EV60" s="591"/>
      <c r="EW60" s="591"/>
      <c r="EX60" s="591"/>
      <c r="EY60" s="591"/>
      <c r="EZ60" s="591"/>
      <c r="FA60" s="591"/>
      <c r="FB60" s="591"/>
      <c r="FC60" s="591"/>
      <c r="FD60" s="591"/>
      <c r="FE60" s="591"/>
      <c r="FF60" s="591"/>
      <c r="FG60" s="591"/>
      <c r="FH60" s="591"/>
      <c r="FI60" s="591"/>
      <c r="FJ60" s="591"/>
      <c r="FK60" s="591"/>
      <c r="FL60" s="591"/>
      <c r="FM60" s="591"/>
      <c r="FN60" s="591"/>
      <c r="FO60" s="591"/>
      <c r="FP60" s="591"/>
      <c r="FQ60" s="591"/>
      <c r="FR60" s="591"/>
      <c r="FS60" s="591"/>
      <c r="FT60" s="591"/>
      <c r="FU60" s="591"/>
      <c r="FV60" s="591"/>
      <c r="FW60" s="591"/>
      <c r="FX60" s="591"/>
      <c r="FY60" s="591"/>
      <c r="FZ60" s="591"/>
      <c r="GA60" s="591"/>
      <c r="GB60" s="591"/>
      <c r="GC60" s="591"/>
      <c r="GD60" s="591"/>
      <c r="GE60" s="591"/>
      <c r="GF60" s="591"/>
      <c r="GG60" s="591"/>
      <c r="GH60" s="591"/>
      <c r="GI60" s="591"/>
      <c r="GJ60" s="591"/>
      <c r="GK60" s="591"/>
      <c r="GL60" s="591"/>
      <c r="GM60" s="591"/>
      <c r="GN60" s="591"/>
      <c r="GO60" s="591"/>
      <c r="GP60" s="591"/>
      <c r="GQ60" s="591"/>
      <c r="GR60" s="591"/>
      <c r="GS60" s="591"/>
      <c r="GT60" s="591"/>
      <c r="GU60" s="591"/>
      <c r="GV60" s="591"/>
      <c r="GW60" s="591"/>
      <c r="GX60" s="591"/>
      <c r="GY60" s="591"/>
      <c r="GZ60" s="591"/>
      <c r="HA60" s="591"/>
      <c r="HB60" s="591"/>
      <c r="HC60" s="591"/>
      <c r="HD60" s="591"/>
      <c r="HE60" s="591"/>
      <c r="HF60" s="591"/>
      <c r="HG60" s="591"/>
      <c r="HH60" s="591"/>
      <c r="HI60" s="591"/>
      <c r="HJ60" s="591"/>
      <c r="HK60" s="591"/>
      <c r="HL60" s="591"/>
      <c r="HM60" s="591"/>
      <c r="HN60" s="591"/>
      <c r="HO60" s="591"/>
      <c r="HP60" s="591"/>
      <c r="HQ60" s="591"/>
      <c r="HR60" s="591"/>
      <c r="HS60" s="591"/>
      <c r="HT60" s="591"/>
      <c r="HU60" s="591"/>
      <c r="HV60" s="591"/>
      <c r="HW60" s="591"/>
      <c r="HX60" s="591"/>
      <c r="HY60" s="591"/>
      <c r="HZ60" s="591"/>
      <c r="IA60" s="591"/>
      <c r="IB60" s="591"/>
      <c r="IC60" s="591"/>
      <c r="ID60" s="591"/>
      <c r="IE60" s="591"/>
      <c r="IF60" s="591"/>
      <c r="IG60" s="591"/>
      <c r="IH60" s="591"/>
      <c r="II60" s="591"/>
      <c r="IJ60" s="591"/>
      <c r="IK60" s="591"/>
      <c r="IL60" s="591"/>
      <c r="IM60" s="591"/>
      <c r="IN60" s="591"/>
      <c r="IO60" s="591"/>
      <c r="IP60" s="591"/>
      <c r="IQ60" s="591"/>
      <c r="IR60" s="591"/>
      <c r="IS60" s="591"/>
      <c r="IT60" s="591"/>
      <c r="IU60" s="591"/>
      <c r="IV60" s="591"/>
    </row>
    <row r="61" spans="1:256" ht="13.5">
      <c r="A61" s="38" t="s">
        <v>251</v>
      </c>
      <c r="B61" s="583"/>
      <c r="C61" s="583" t="s">
        <v>698</v>
      </c>
      <c r="D61" s="592">
        <v>74</v>
      </c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1"/>
      <c r="U61" s="591"/>
      <c r="V61" s="591"/>
      <c r="W61" s="591"/>
      <c r="X61" s="591"/>
      <c r="Y61" s="591"/>
      <c r="Z61" s="591"/>
      <c r="AA61" s="591"/>
      <c r="AB61" s="591"/>
      <c r="AC61" s="591"/>
      <c r="AD61" s="591"/>
      <c r="AE61" s="591"/>
      <c r="AF61" s="591"/>
      <c r="AG61" s="591"/>
      <c r="AH61" s="591"/>
      <c r="AI61" s="591"/>
      <c r="AJ61" s="591"/>
      <c r="AK61" s="591"/>
      <c r="AL61" s="591"/>
      <c r="AM61" s="591"/>
      <c r="AN61" s="591"/>
      <c r="AO61" s="591"/>
      <c r="AP61" s="591"/>
      <c r="AQ61" s="591"/>
      <c r="AR61" s="591"/>
      <c r="AS61" s="591"/>
      <c r="AT61" s="591"/>
      <c r="AU61" s="591"/>
      <c r="AV61" s="591"/>
      <c r="AW61" s="591"/>
      <c r="AX61" s="591"/>
      <c r="AY61" s="591"/>
      <c r="AZ61" s="591"/>
      <c r="BA61" s="591"/>
      <c r="BB61" s="591"/>
      <c r="BC61" s="591"/>
      <c r="BD61" s="591"/>
      <c r="BE61" s="591"/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1"/>
      <c r="BS61" s="591"/>
      <c r="BT61" s="591"/>
      <c r="BU61" s="591"/>
      <c r="BV61" s="591"/>
      <c r="BW61" s="591"/>
      <c r="BX61" s="591"/>
      <c r="BY61" s="591"/>
      <c r="BZ61" s="591"/>
      <c r="CA61" s="591"/>
      <c r="CB61" s="591"/>
      <c r="CC61" s="591"/>
      <c r="CD61" s="591"/>
      <c r="CE61" s="591"/>
      <c r="CF61" s="591"/>
      <c r="CG61" s="591"/>
      <c r="CH61" s="591"/>
      <c r="CI61" s="591"/>
      <c r="CJ61" s="591"/>
      <c r="CK61" s="591"/>
      <c r="CL61" s="591"/>
      <c r="CM61" s="591"/>
      <c r="CN61" s="591"/>
      <c r="CO61" s="591"/>
      <c r="CP61" s="591"/>
      <c r="CQ61" s="591"/>
      <c r="CR61" s="591"/>
      <c r="CS61" s="591"/>
      <c r="CT61" s="591"/>
      <c r="CU61" s="591"/>
      <c r="CV61" s="591"/>
      <c r="CW61" s="591"/>
      <c r="CX61" s="591"/>
      <c r="CY61" s="591"/>
      <c r="CZ61" s="591"/>
      <c r="DA61" s="591"/>
      <c r="DB61" s="591"/>
      <c r="DC61" s="591"/>
      <c r="DD61" s="591"/>
      <c r="DE61" s="591"/>
      <c r="DF61" s="591"/>
      <c r="DG61" s="591"/>
      <c r="DH61" s="591"/>
      <c r="DI61" s="591"/>
      <c r="DJ61" s="591"/>
      <c r="DK61" s="591"/>
      <c r="DL61" s="591"/>
      <c r="DM61" s="591"/>
      <c r="DN61" s="591"/>
      <c r="DO61" s="591"/>
      <c r="DP61" s="591"/>
      <c r="DQ61" s="591"/>
      <c r="DR61" s="591"/>
      <c r="DS61" s="591"/>
      <c r="DT61" s="591"/>
      <c r="DU61" s="591"/>
      <c r="DV61" s="591"/>
      <c r="DW61" s="591"/>
      <c r="DX61" s="591"/>
      <c r="DY61" s="591"/>
      <c r="DZ61" s="591"/>
      <c r="EA61" s="591"/>
      <c r="EB61" s="591"/>
      <c r="EC61" s="591"/>
      <c r="ED61" s="591"/>
      <c r="EE61" s="591"/>
      <c r="EF61" s="591"/>
      <c r="EG61" s="591"/>
      <c r="EH61" s="591"/>
      <c r="EI61" s="591"/>
      <c r="EJ61" s="591"/>
      <c r="EK61" s="591"/>
      <c r="EL61" s="591"/>
      <c r="EM61" s="591"/>
      <c r="EN61" s="591"/>
      <c r="EO61" s="591"/>
      <c r="EP61" s="591"/>
      <c r="EQ61" s="591"/>
      <c r="ER61" s="591"/>
      <c r="ES61" s="591"/>
      <c r="ET61" s="591"/>
      <c r="EU61" s="591"/>
      <c r="EV61" s="591"/>
      <c r="EW61" s="591"/>
      <c r="EX61" s="591"/>
      <c r="EY61" s="591"/>
      <c r="EZ61" s="591"/>
      <c r="FA61" s="591"/>
      <c r="FB61" s="591"/>
      <c r="FC61" s="591"/>
      <c r="FD61" s="591"/>
      <c r="FE61" s="591"/>
      <c r="FF61" s="591"/>
      <c r="FG61" s="591"/>
      <c r="FH61" s="591"/>
      <c r="FI61" s="591"/>
      <c r="FJ61" s="591"/>
      <c r="FK61" s="591"/>
      <c r="FL61" s="591"/>
      <c r="FM61" s="591"/>
      <c r="FN61" s="591"/>
      <c r="FO61" s="591"/>
      <c r="FP61" s="591"/>
      <c r="FQ61" s="591"/>
      <c r="FR61" s="591"/>
      <c r="FS61" s="591"/>
      <c r="FT61" s="591"/>
      <c r="FU61" s="591"/>
      <c r="FV61" s="591"/>
      <c r="FW61" s="591"/>
      <c r="FX61" s="591"/>
      <c r="FY61" s="591"/>
      <c r="FZ61" s="591"/>
      <c r="GA61" s="591"/>
      <c r="GB61" s="591"/>
      <c r="GC61" s="591"/>
      <c r="GD61" s="591"/>
      <c r="GE61" s="591"/>
      <c r="GF61" s="591"/>
      <c r="GG61" s="591"/>
      <c r="GH61" s="591"/>
      <c r="GI61" s="591"/>
      <c r="GJ61" s="591"/>
      <c r="GK61" s="591"/>
      <c r="GL61" s="591"/>
      <c r="GM61" s="591"/>
      <c r="GN61" s="591"/>
      <c r="GO61" s="591"/>
      <c r="GP61" s="591"/>
      <c r="GQ61" s="591"/>
      <c r="GR61" s="591"/>
      <c r="GS61" s="591"/>
      <c r="GT61" s="591"/>
      <c r="GU61" s="591"/>
      <c r="GV61" s="591"/>
      <c r="GW61" s="591"/>
      <c r="GX61" s="591"/>
      <c r="GY61" s="591"/>
      <c r="GZ61" s="591"/>
      <c r="HA61" s="591"/>
      <c r="HB61" s="591"/>
      <c r="HC61" s="591"/>
      <c r="HD61" s="591"/>
      <c r="HE61" s="591"/>
      <c r="HF61" s="591"/>
      <c r="HG61" s="591"/>
      <c r="HH61" s="591"/>
      <c r="HI61" s="591"/>
      <c r="HJ61" s="591"/>
      <c r="HK61" s="591"/>
      <c r="HL61" s="591"/>
      <c r="HM61" s="591"/>
      <c r="HN61" s="591"/>
      <c r="HO61" s="591"/>
      <c r="HP61" s="591"/>
      <c r="HQ61" s="591"/>
      <c r="HR61" s="591"/>
      <c r="HS61" s="591"/>
      <c r="HT61" s="591"/>
      <c r="HU61" s="591"/>
      <c r="HV61" s="591"/>
      <c r="HW61" s="591"/>
      <c r="HX61" s="591"/>
      <c r="HY61" s="591"/>
      <c r="HZ61" s="591"/>
      <c r="IA61" s="591"/>
      <c r="IB61" s="591"/>
      <c r="IC61" s="591"/>
      <c r="ID61" s="591"/>
      <c r="IE61" s="591"/>
      <c r="IF61" s="591"/>
      <c r="IG61" s="591"/>
      <c r="IH61" s="591"/>
      <c r="II61" s="591"/>
      <c r="IJ61" s="591"/>
      <c r="IK61" s="591"/>
      <c r="IL61" s="591"/>
      <c r="IM61" s="591"/>
      <c r="IN61" s="591"/>
      <c r="IO61" s="591"/>
      <c r="IP61" s="591"/>
      <c r="IQ61" s="591"/>
      <c r="IR61" s="591"/>
      <c r="IS61" s="591"/>
      <c r="IT61" s="591"/>
      <c r="IU61" s="591"/>
      <c r="IV61" s="591"/>
    </row>
    <row r="62" spans="1:256" ht="39">
      <c r="A62" s="593" t="s">
        <v>784</v>
      </c>
      <c r="B62" s="583"/>
      <c r="C62" s="545" t="s">
        <v>59</v>
      </c>
      <c r="D62" s="592">
        <v>4379.1</v>
      </c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91"/>
      <c r="AS62" s="591"/>
      <c r="AT62" s="591"/>
      <c r="AU62" s="591"/>
      <c r="AV62" s="591"/>
      <c r="AW62" s="591"/>
      <c r="AX62" s="591"/>
      <c r="AY62" s="591"/>
      <c r="AZ62" s="591"/>
      <c r="BA62" s="591"/>
      <c r="BB62" s="591"/>
      <c r="BC62" s="591"/>
      <c r="BD62" s="591"/>
      <c r="BE62" s="591"/>
      <c r="BF62" s="591"/>
      <c r="BG62" s="591"/>
      <c r="BH62" s="591"/>
      <c r="BI62" s="591"/>
      <c r="BJ62" s="591"/>
      <c r="BK62" s="591"/>
      <c r="BL62" s="591"/>
      <c r="BM62" s="591"/>
      <c r="BN62" s="591"/>
      <c r="BO62" s="591"/>
      <c r="BP62" s="591"/>
      <c r="BQ62" s="591"/>
      <c r="BR62" s="591"/>
      <c r="BS62" s="591"/>
      <c r="BT62" s="591"/>
      <c r="BU62" s="591"/>
      <c r="BV62" s="591"/>
      <c r="BW62" s="591"/>
      <c r="BX62" s="591"/>
      <c r="BY62" s="591"/>
      <c r="BZ62" s="591"/>
      <c r="CA62" s="591"/>
      <c r="CB62" s="591"/>
      <c r="CC62" s="591"/>
      <c r="CD62" s="591"/>
      <c r="CE62" s="591"/>
      <c r="CF62" s="591"/>
      <c r="CG62" s="591"/>
      <c r="CH62" s="591"/>
      <c r="CI62" s="591"/>
      <c r="CJ62" s="591"/>
      <c r="CK62" s="591"/>
      <c r="CL62" s="591"/>
      <c r="CM62" s="591"/>
      <c r="CN62" s="591"/>
      <c r="CO62" s="591"/>
      <c r="CP62" s="591"/>
      <c r="CQ62" s="591"/>
      <c r="CR62" s="591"/>
      <c r="CS62" s="591"/>
      <c r="CT62" s="591"/>
      <c r="CU62" s="591"/>
      <c r="CV62" s="591"/>
      <c r="CW62" s="591"/>
      <c r="CX62" s="591"/>
      <c r="CY62" s="591"/>
      <c r="CZ62" s="591"/>
      <c r="DA62" s="591"/>
      <c r="DB62" s="591"/>
      <c r="DC62" s="591"/>
      <c r="DD62" s="591"/>
      <c r="DE62" s="591"/>
      <c r="DF62" s="591"/>
      <c r="DG62" s="591"/>
      <c r="DH62" s="591"/>
      <c r="DI62" s="591"/>
      <c r="DJ62" s="591"/>
      <c r="DK62" s="591"/>
      <c r="DL62" s="591"/>
      <c r="DM62" s="591"/>
      <c r="DN62" s="591"/>
      <c r="DO62" s="591"/>
      <c r="DP62" s="591"/>
      <c r="DQ62" s="591"/>
      <c r="DR62" s="591"/>
      <c r="DS62" s="591"/>
      <c r="DT62" s="591"/>
      <c r="DU62" s="591"/>
      <c r="DV62" s="591"/>
      <c r="DW62" s="591"/>
      <c r="DX62" s="591"/>
      <c r="DY62" s="591"/>
      <c r="DZ62" s="591"/>
      <c r="EA62" s="591"/>
      <c r="EB62" s="591"/>
      <c r="EC62" s="591"/>
      <c r="ED62" s="591"/>
      <c r="EE62" s="591"/>
      <c r="EF62" s="591"/>
      <c r="EG62" s="591"/>
      <c r="EH62" s="591"/>
      <c r="EI62" s="591"/>
      <c r="EJ62" s="591"/>
      <c r="EK62" s="591"/>
      <c r="EL62" s="591"/>
      <c r="EM62" s="591"/>
      <c r="EN62" s="591"/>
      <c r="EO62" s="591"/>
      <c r="EP62" s="591"/>
      <c r="EQ62" s="591"/>
      <c r="ER62" s="591"/>
      <c r="ES62" s="591"/>
      <c r="ET62" s="591"/>
      <c r="EU62" s="591"/>
      <c r="EV62" s="591"/>
      <c r="EW62" s="591"/>
      <c r="EX62" s="591"/>
      <c r="EY62" s="591"/>
      <c r="EZ62" s="591"/>
      <c r="FA62" s="591"/>
      <c r="FB62" s="591"/>
      <c r="FC62" s="591"/>
      <c r="FD62" s="591"/>
      <c r="FE62" s="591"/>
      <c r="FF62" s="591"/>
      <c r="FG62" s="591"/>
      <c r="FH62" s="591"/>
      <c r="FI62" s="591"/>
      <c r="FJ62" s="591"/>
      <c r="FK62" s="591"/>
      <c r="FL62" s="591"/>
      <c r="FM62" s="591"/>
      <c r="FN62" s="591"/>
      <c r="FO62" s="591"/>
      <c r="FP62" s="591"/>
      <c r="FQ62" s="591"/>
      <c r="FR62" s="591"/>
      <c r="FS62" s="591"/>
      <c r="FT62" s="591"/>
      <c r="FU62" s="591"/>
      <c r="FV62" s="591"/>
      <c r="FW62" s="591"/>
      <c r="FX62" s="591"/>
      <c r="FY62" s="591"/>
      <c r="FZ62" s="591"/>
      <c r="GA62" s="591"/>
      <c r="GB62" s="591"/>
      <c r="GC62" s="591"/>
      <c r="GD62" s="591"/>
      <c r="GE62" s="591"/>
      <c r="GF62" s="591"/>
      <c r="GG62" s="591"/>
      <c r="GH62" s="591"/>
      <c r="GI62" s="591"/>
      <c r="GJ62" s="591"/>
      <c r="GK62" s="591"/>
      <c r="GL62" s="591"/>
      <c r="GM62" s="591"/>
      <c r="GN62" s="591"/>
      <c r="GO62" s="591"/>
      <c r="GP62" s="591"/>
      <c r="GQ62" s="591"/>
      <c r="GR62" s="591"/>
      <c r="GS62" s="591"/>
      <c r="GT62" s="591"/>
      <c r="GU62" s="591"/>
      <c r="GV62" s="591"/>
      <c r="GW62" s="591"/>
      <c r="GX62" s="591"/>
      <c r="GY62" s="591"/>
      <c r="GZ62" s="591"/>
      <c r="HA62" s="591"/>
      <c r="HB62" s="591"/>
      <c r="HC62" s="591"/>
      <c r="HD62" s="591"/>
      <c r="HE62" s="591"/>
      <c r="HF62" s="591"/>
      <c r="HG62" s="591"/>
      <c r="HH62" s="591"/>
      <c r="HI62" s="591"/>
      <c r="HJ62" s="591"/>
      <c r="HK62" s="591"/>
      <c r="HL62" s="591"/>
      <c r="HM62" s="591"/>
      <c r="HN62" s="591"/>
      <c r="HO62" s="591"/>
      <c r="HP62" s="591"/>
      <c r="HQ62" s="591"/>
      <c r="HR62" s="591"/>
      <c r="HS62" s="591"/>
      <c r="HT62" s="591"/>
      <c r="HU62" s="591"/>
      <c r="HV62" s="591"/>
      <c r="HW62" s="591"/>
      <c r="HX62" s="591"/>
      <c r="HY62" s="591"/>
      <c r="HZ62" s="591"/>
      <c r="IA62" s="591"/>
      <c r="IB62" s="591"/>
      <c r="IC62" s="591"/>
      <c r="ID62" s="591"/>
      <c r="IE62" s="591"/>
      <c r="IF62" s="591"/>
      <c r="IG62" s="591"/>
      <c r="IH62" s="591"/>
      <c r="II62" s="591"/>
      <c r="IJ62" s="591"/>
      <c r="IK62" s="591"/>
      <c r="IL62" s="591"/>
      <c r="IM62" s="591"/>
      <c r="IN62" s="591"/>
      <c r="IO62" s="591"/>
      <c r="IP62" s="591"/>
      <c r="IQ62" s="591"/>
      <c r="IR62" s="591"/>
      <c r="IS62" s="591"/>
      <c r="IT62" s="591"/>
      <c r="IU62" s="591"/>
      <c r="IV62" s="591"/>
    </row>
    <row r="63" spans="1:256" ht="13.5">
      <c r="A63" s="27" t="s">
        <v>1055</v>
      </c>
      <c r="B63" s="535"/>
      <c r="C63" s="535" t="s">
        <v>1056</v>
      </c>
      <c r="D63" s="592">
        <v>12552.4</v>
      </c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91"/>
      <c r="AS63" s="591"/>
      <c r="AT63" s="591"/>
      <c r="AU63" s="591"/>
      <c r="AV63" s="591"/>
      <c r="AW63" s="591"/>
      <c r="AX63" s="591"/>
      <c r="AY63" s="591"/>
      <c r="AZ63" s="591"/>
      <c r="BA63" s="591"/>
      <c r="BB63" s="591"/>
      <c r="BC63" s="591"/>
      <c r="BD63" s="591"/>
      <c r="BE63" s="591"/>
      <c r="BF63" s="591"/>
      <c r="BG63" s="591"/>
      <c r="BH63" s="591"/>
      <c r="BI63" s="591"/>
      <c r="BJ63" s="591"/>
      <c r="BK63" s="591"/>
      <c r="BL63" s="591"/>
      <c r="BM63" s="591"/>
      <c r="BN63" s="591"/>
      <c r="BO63" s="591"/>
      <c r="BP63" s="591"/>
      <c r="BQ63" s="591"/>
      <c r="BR63" s="591"/>
      <c r="BS63" s="591"/>
      <c r="BT63" s="591"/>
      <c r="BU63" s="591"/>
      <c r="BV63" s="591"/>
      <c r="BW63" s="591"/>
      <c r="BX63" s="591"/>
      <c r="BY63" s="591"/>
      <c r="BZ63" s="591"/>
      <c r="CA63" s="591"/>
      <c r="CB63" s="591"/>
      <c r="CC63" s="591"/>
      <c r="CD63" s="591"/>
      <c r="CE63" s="591"/>
      <c r="CF63" s="591"/>
      <c r="CG63" s="591"/>
      <c r="CH63" s="591"/>
      <c r="CI63" s="591"/>
      <c r="CJ63" s="591"/>
      <c r="CK63" s="591"/>
      <c r="CL63" s="591"/>
      <c r="CM63" s="591"/>
      <c r="CN63" s="591"/>
      <c r="CO63" s="591"/>
      <c r="CP63" s="591"/>
      <c r="CQ63" s="591"/>
      <c r="CR63" s="591"/>
      <c r="CS63" s="591"/>
      <c r="CT63" s="591"/>
      <c r="CU63" s="591"/>
      <c r="CV63" s="591"/>
      <c r="CW63" s="591"/>
      <c r="CX63" s="591"/>
      <c r="CY63" s="591"/>
      <c r="CZ63" s="591"/>
      <c r="DA63" s="591"/>
      <c r="DB63" s="591"/>
      <c r="DC63" s="591"/>
      <c r="DD63" s="591"/>
      <c r="DE63" s="591"/>
      <c r="DF63" s="591"/>
      <c r="DG63" s="591"/>
      <c r="DH63" s="591"/>
      <c r="DI63" s="591"/>
      <c r="DJ63" s="591"/>
      <c r="DK63" s="591"/>
      <c r="DL63" s="591"/>
      <c r="DM63" s="591"/>
      <c r="DN63" s="591"/>
      <c r="DO63" s="591"/>
      <c r="DP63" s="591"/>
      <c r="DQ63" s="591"/>
      <c r="DR63" s="591"/>
      <c r="DS63" s="591"/>
      <c r="DT63" s="591"/>
      <c r="DU63" s="591"/>
      <c r="DV63" s="591"/>
      <c r="DW63" s="591"/>
      <c r="DX63" s="591"/>
      <c r="DY63" s="591"/>
      <c r="DZ63" s="591"/>
      <c r="EA63" s="591"/>
      <c r="EB63" s="591"/>
      <c r="EC63" s="591"/>
      <c r="ED63" s="591"/>
      <c r="EE63" s="591"/>
      <c r="EF63" s="591"/>
      <c r="EG63" s="591"/>
      <c r="EH63" s="591"/>
      <c r="EI63" s="591"/>
      <c r="EJ63" s="591"/>
      <c r="EK63" s="591"/>
      <c r="EL63" s="591"/>
      <c r="EM63" s="591"/>
      <c r="EN63" s="591"/>
      <c r="EO63" s="591"/>
      <c r="EP63" s="591"/>
      <c r="EQ63" s="591"/>
      <c r="ER63" s="591"/>
      <c r="ES63" s="591"/>
      <c r="ET63" s="591"/>
      <c r="EU63" s="591"/>
      <c r="EV63" s="591"/>
      <c r="EW63" s="591"/>
      <c r="EX63" s="591"/>
      <c r="EY63" s="591"/>
      <c r="EZ63" s="591"/>
      <c r="FA63" s="591"/>
      <c r="FB63" s="591"/>
      <c r="FC63" s="591"/>
      <c r="FD63" s="591"/>
      <c r="FE63" s="591"/>
      <c r="FF63" s="591"/>
      <c r="FG63" s="591"/>
      <c r="FH63" s="591"/>
      <c r="FI63" s="591"/>
      <c r="FJ63" s="591"/>
      <c r="FK63" s="591"/>
      <c r="FL63" s="591"/>
      <c r="FM63" s="591"/>
      <c r="FN63" s="591"/>
      <c r="FO63" s="591"/>
      <c r="FP63" s="591"/>
      <c r="FQ63" s="591"/>
      <c r="FR63" s="591"/>
      <c r="FS63" s="591"/>
      <c r="FT63" s="591"/>
      <c r="FU63" s="591"/>
      <c r="FV63" s="591"/>
      <c r="FW63" s="591"/>
      <c r="FX63" s="591"/>
      <c r="FY63" s="591"/>
      <c r="FZ63" s="591"/>
      <c r="GA63" s="591"/>
      <c r="GB63" s="591"/>
      <c r="GC63" s="591"/>
      <c r="GD63" s="591"/>
      <c r="GE63" s="591"/>
      <c r="GF63" s="591"/>
      <c r="GG63" s="591"/>
      <c r="GH63" s="591"/>
      <c r="GI63" s="591"/>
      <c r="GJ63" s="591"/>
      <c r="GK63" s="591"/>
      <c r="GL63" s="591"/>
      <c r="GM63" s="591"/>
      <c r="GN63" s="591"/>
      <c r="GO63" s="591"/>
      <c r="GP63" s="591"/>
      <c r="GQ63" s="591"/>
      <c r="GR63" s="591"/>
      <c r="GS63" s="591"/>
      <c r="GT63" s="591"/>
      <c r="GU63" s="591"/>
      <c r="GV63" s="591"/>
      <c r="GW63" s="591"/>
      <c r="GX63" s="591"/>
      <c r="GY63" s="591"/>
      <c r="GZ63" s="591"/>
      <c r="HA63" s="591"/>
      <c r="HB63" s="591"/>
      <c r="HC63" s="591"/>
      <c r="HD63" s="591"/>
      <c r="HE63" s="591"/>
      <c r="HF63" s="591"/>
      <c r="HG63" s="591"/>
      <c r="HH63" s="591"/>
      <c r="HI63" s="591"/>
      <c r="HJ63" s="591"/>
      <c r="HK63" s="591"/>
      <c r="HL63" s="591"/>
      <c r="HM63" s="591"/>
      <c r="HN63" s="591"/>
      <c r="HO63" s="591"/>
      <c r="HP63" s="591"/>
      <c r="HQ63" s="591"/>
      <c r="HR63" s="591"/>
      <c r="HS63" s="591"/>
      <c r="HT63" s="591"/>
      <c r="HU63" s="591"/>
      <c r="HV63" s="591"/>
      <c r="HW63" s="591"/>
      <c r="HX63" s="591"/>
      <c r="HY63" s="591"/>
      <c r="HZ63" s="591"/>
      <c r="IA63" s="591"/>
      <c r="IB63" s="591"/>
      <c r="IC63" s="591"/>
      <c r="ID63" s="591"/>
      <c r="IE63" s="591"/>
      <c r="IF63" s="591"/>
      <c r="IG63" s="591"/>
      <c r="IH63" s="591"/>
      <c r="II63" s="591"/>
      <c r="IJ63" s="591"/>
      <c r="IK63" s="591"/>
      <c r="IL63" s="591"/>
      <c r="IM63" s="591"/>
      <c r="IN63" s="591"/>
      <c r="IO63" s="591"/>
      <c r="IP63" s="591"/>
      <c r="IQ63" s="591"/>
      <c r="IR63" s="591"/>
      <c r="IS63" s="591"/>
      <c r="IT63" s="591"/>
      <c r="IU63" s="591"/>
      <c r="IV63" s="591"/>
    </row>
    <row r="64" spans="1:256" ht="26.25">
      <c r="A64" s="27" t="s">
        <v>997</v>
      </c>
      <c r="B64" s="535"/>
      <c r="C64" s="535" t="s">
        <v>76</v>
      </c>
      <c r="D64" s="592">
        <v>8199.3</v>
      </c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91"/>
      <c r="AS64" s="591"/>
      <c r="AT64" s="591"/>
      <c r="AU64" s="591"/>
      <c r="AV64" s="591"/>
      <c r="AW64" s="591"/>
      <c r="AX64" s="591"/>
      <c r="AY64" s="591"/>
      <c r="AZ64" s="591"/>
      <c r="BA64" s="591"/>
      <c r="BB64" s="591"/>
      <c r="BC64" s="591"/>
      <c r="BD64" s="591"/>
      <c r="BE64" s="591"/>
      <c r="BF64" s="591"/>
      <c r="BG64" s="591"/>
      <c r="BH64" s="591"/>
      <c r="BI64" s="591"/>
      <c r="BJ64" s="591"/>
      <c r="BK64" s="591"/>
      <c r="BL64" s="591"/>
      <c r="BM64" s="591"/>
      <c r="BN64" s="591"/>
      <c r="BO64" s="591"/>
      <c r="BP64" s="591"/>
      <c r="BQ64" s="591"/>
      <c r="BR64" s="591"/>
      <c r="BS64" s="591"/>
      <c r="BT64" s="591"/>
      <c r="BU64" s="591"/>
      <c r="BV64" s="591"/>
      <c r="BW64" s="591"/>
      <c r="BX64" s="591"/>
      <c r="BY64" s="591"/>
      <c r="BZ64" s="591"/>
      <c r="CA64" s="591"/>
      <c r="CB64" s="591"/>
      <c r="CC64" s="591"/>
      <c r="CD64" s="591"/>
      <c r="CE64" s="591"/>
      <c r="CF64" s="591"/>
      <c r="CG64" s="591"/>
      <c r="CH64" s="591"/>
      <c r="CI64" s="591"/>
      <c r="CJ64" s="591"/>
      <c r="CK64" s="591"/>
      <c r="CL64" s="591"/>
      <c r="CM64" s="591"/>
      <c r="CN64" s="591"/>
      <c r="CO64" s="591"/>
      <c r="CP64" s="591"/>
      <c r="CQ64" s="591"/>
      <c r="CR64" s="591"/>
      <c r="CS64" s="591"/>
      <c r="CT64" s="591"/>
      <c r="CU64" s="591"/>
      <c r="CV64" s="591"/>
      <c r="CW64" s="591"/>
      <c r="CX64" s="591"/>
      <c r="CY64" s="591"/>
      <c r="CZ64" s="591"/>
      <c r="DA64" s="591"/>
      <c r="DB64" s="591"/>
      <c r="DC64" s="591"/>
      <c r="DD64" s="591"/>
      <c r="DE64" s="591"/>
      <c r="DF64" s="591"/>
      <c r="DG64" s="591"/>
      <c r="DH64" s="591"/>
      <c r="DI64" s="591"/>
      <c r="DJ64" s="591"/>
      <c r="DK64" s="591"/>
      <c r="DL64" s="591"/>
      <c r="DM64" s="591"/>
      <c r="DN64" s="591"/>
      <c r="DO64" s="591"/>
      <c r="DP64" s="591"/>
      <c r="DQ64" s="591"/>
      <c r="DR64" s="591"/>
      <c r="DS64" s="591"/>
      <c r="DT64" s="591"/>
      <c r="DU64" s="591"/>
      <c r="DV64" s="591"/>
      <c r="DW64" s="591"/>
      <c r="DX64" s="591"/>
      <c r="DY64" s="591"/>
      <c r="DZ64" s="591"/>
      <c r="EA64" s="591"/>
      <c r="EB64" s="591"/>
      <c r="EC64" s="591"/>
      <c r="ED64" s="591"/>
      <c r="EE64" s="591"/>
      <c r="EF64" s="591"/>
      <c r="EG64" s="591"/>
      <c r="EH64" s="591"/>
      <c r="EI64" s="591"/>
      <c r="EJ64" s="591"/>
      <c r="EK64" s="591"/>
      <c r="EL64" s="591"/>
      <c r="EM64" s="591"/>
      <c r="EN64" s="591"/>
      <c r="EO64" s="591"/>
      <c r="EP64" s="591"/>
      <c r="EQ64" s="591"/>
      <c r="ER64" s="591"/>
      <c r="ES64" s="591"/>
      <c r="ET64" s="591"/>
      <c r="EU64" s="591"/>
      <c r="EV64" s="591"/>
      <c r="EW64" s="591"/>
      <c r="EX64" s="591"/>
      <c r="EY64" s="591"/>
      <c r="EZ64" s="591"/>
      <c r="FA64" s="591"/>
      <c r="FB64" s="591"/>
      <c r="FC64" s="591"/>
      <c r="FD64" s="591"/>
      <c r="FE64" s="591"/>
      <c r="FF64" s="591"/>
      <c r="FG64" s="591"/>
      <c r="FH64" s="591"/>
      <c r="FI64" s="591"/>
      <c r="FJ64" s="591"/>
      <c r="FK64" s="591"/>
      <c r="FL64" s="591"/>
      <c r="FM64" s="591"/>
      <c r="FN64" s="591"/>
      <c r="FO64" s="591"/>
      <c r="FP64" s="591"/>
      <c r="FQ64" s="591"/>
      <c r="FR64" s="591"/>
      <c r="FS64" s="591"/>
      <c r="FT64" s="591"/>
      <c r="FU64" s="591"/>
      <c r="FV64" s="591"/>
      <c r="FW64" s="591"/>
      <c r="FX64" s="591"/>
      <c r="FY64" s="591"/>
      <c r="FZ64" s="591"/>
      <c r="GA64" s="591"/>
      <c r="GB64" s="591"/>
      <c r="GC64" s="591"/>
      <c r="GD64" s="591"/>
      <c r="GE64" s="591"/>
      <c r="GF64" s="591"/>
      <c r="GG64" s="591"/>
      <c r="GH64" s="591"/>
      <c r="GI64" s="591"/>
      <c r="GJ64" s="591"/>
      <c r="GK64" s="591"/>
      <c r="GL64" s="591"/>
      <c r="GM64" s="591"/>
      <c r="GN64" s="591"/>
      <c r="GO64" s="591"/>
      <c r="GP64" s="591"/>
      <c r="GQ64" s="591"/>
      <c r="GR64" s="591"/>
      <c r="GS64" s="591"/>
      <c r="GT64" s="591"/>
      <c r="GU64" s="591"/>
      <c r="GV64" s="591"/>
      <c r="GW64" s="591"/>
      <c r="GX64" s="591"/>
      <c r="GY64" s="591"/>
      <c r="GZ64" s="591"/>
      <c r="HA64" s="591"/>
      <c r="HB64" s="591"/>
      <c r="HC64" s="591"/>
      <c r="HD64" s="591"/>
      <c r="HE64" s="591"/>
      <c r="HF64" s="591"/>
      <c r="HG64" s="591"/>
      <c r="HH64" s="591"/>
      <c r="HI64" s="591"/>
      <c r="HJ64" s="591"/>
      <c r="HK64" s="591"/>
      <c r="HL64" s="591"/>
      <c r="HM64" s="591"/>
      <c r="HN64" s="591"/>
      <c r="HO64" s="591"/>
      <c r="HP64" s="591"/>
      <c r="HQ64" s="591"/>
      <c r="HR64" s="591"/>
      <c r="HS64" s="591"/>
      <c r="HT64" s="591"/>
      <c r="HU64" s="591"/>
      <c r="HV64" s="591"/>
      <c r="HW64" s="591"/>
      <c r="HX64" s="591"/>
      <c r="HY64" s="591"/>
      <c r="HZ64" s="591"/>
      <c r="IA64" s="591"/>
      <c r="IB64" s="591"/>
      <c r="IC64" s="591"/>
      <c r="ID64" s="591"/>
      <c r="IE64" s="591"/>
      <c r="IF64" s="591"/>
      <c r="IG64" s="591"/>
      <c r="IH64" s="591"/>
      <c r="II64" s="591"/>
      <c r="IJ64" s="591"/>
      <c r="IK64" s="591"/>
      <c r="IL64" s="591"/>
      <c r="IM64" s="591"/>
      <c r="IN64" s="591"/>
      <c r="IO64" s="591"/>
      <c r="IP64" s="591"/>
      <c r="IQ64" s="591"/>
      <c r="IR64" s="591"/>
      <c r="IS64" s="591"/>
      <c r="IT64" s="591"/>
      <c r="IU64" s="591"/>
      <c r="IV64" s="591"/>
    </row>
    <row r="65" spans="1:256" ht="26.25">
      <c r="A65" s="27" t="s">
        <v>1421</v>
      </c>
      <c r="B65" s="535"/>
      <c r="C65" s="535" t="s">
        <v>60</v>
      </c>
      <c r="D65" s="592">
        <v>41325.1</v>
      </c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91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  <c r="BG65" s="591"/>
      <c r="BH65" s="591"/>
      <c r="BI65" s="591"/>
      <c r="BJ65" s="591"/>
      <c r="BK65" s="591"/>
      <c r="BL65" s="591"/>
      <c r="BM65" s="591"/>
      <c r="BN65" s="591"/>
      <c r="BO65" s="591"/>
      <c r="BP65" s="591"/>
      <c r="BQ65" s="591"/>
      <c r="BR65" s="591"/>
      <c r="BS65" s="591"/>
      <c r="BT65" s="591"/>
      <c r="BU65" s="591"/>
      <c r="BV65" s="591"/>
      <c r="BW65" s="591"/>
      <c r="BX65" s="591"/>
      <c r="BY65" s="591"/>
      <c r="BZ65" s="591"/>
      <c r="CA65" s="591"/>
      <c r="CB65" s="591"/>
      <c r="CC65" s="591"/>
      <c r="CD65" s="591"/>
      <c r="CE65" s="591"/>
      <c r="CF65" s="591"/>
      <c r="CG65" s="591"/>
      <c r="CH65" s="591"/>
      <c r="CI65" s="591"/>
      <c r="CJ65" s="591"/>
      <c r="CK65" s="591"/>
      <c r="CL65" s="591"/>
      <c r="CM65" s="591"/>
      <c r="CN65" s="591"/>
      <c r="CO65" s="591"/>
      <c r="CP65" s="591"/>
      <c r="CQ65" s="591"/>
      <c r="CR65" s="591"/>
      <c r="CS65" s="591"/>
      <c r="CT65" s="591"/>
      <c r="CU65" s="591"/>
      <c r="CV65" s="591"/>
      <c r="CW65" s="591"/>
      <c r="CX65" s="591"/>
      <c r="CY65" s="591"/>
      <c r="CZ65" s="591"/>
      <c r="DA65" s="591"/>
      <c r="DB65" s="591"/>
      <c r="DC65" s="591"/>
      <c r="DD65" s="591"/>
      <c r="DE65" s="591"/>
      <c r="DF65" s="591"/>
      <c r="DG65" s="591"/>
      <c r="DH65" s="591"/>
      <c r="DI65" s="591"/>
      <c r="DJ65" s="591"/>
      <c r="DK65" s="591"/>
      <c r="DL65" s="591"/>
      <c r="DM65" s="591"/>
      <c r="DN65" s="591"/>
      <c r="DO65" s="591"/>
      <c r="DP65" s="591"/>
      <c r="DQ65" s="591"/>
      <c r="DR65" s="591"/>
      <c r="DS65" s="591"/>
      <c r="DT65" s="591"/>
      <c r="DU65" s="591"/>
      <c r="DV65" s="591"/>
      <c r="DW65" s="591"/>
      <c r="DX65" s="591"/>
      <c r="DY65" s="591"/>
      <c r="DZ65" s="591"/>
      <c r="EA65" s="591"/>
      <c r="EB65" s="591"/>
      <c r="EC65" s="591"/>
      <c r="ED65" s="591"/>
      <c r="EE65" s="591"/>
      <c r="EF65" s="591"/>
      <c r="EG65" s="591"/>
      <c r="EH65" s="591"/>
      <c r="EI65" s="591"/>
      <c r="EJ65" s="591"/>
      <c r="EK65" s="591"/>
      <c r="EL65" s="591"/>
      <c r="EM65" s="591"/>
      <c r="EN65" s="591"/>
      <c r="EO65" s="591"/>
      <c r="EP65" s="591"/>
      <c r="EQ65" s="591"/>
      <c r="ER65" s="591"/>
      <c r="ES65" s="591"/>
      <c r="ET65" s="591"/>
      <c r="EU65" s="591"/>
      <c r="EV65" s="591"/>
      <c r="EW65" s="591"/>
      <c r="EX65" s="591"/>
      <c r="EY65" s="591"/>
      <c r="EZ65" s="591"/>
      <c r="FA65" s="591"/>
      <c r="FB65" s="591"/>
      <c r="FC65" s="591"/>
      <c r="FD65" s="591"/>
      <c r="FE65" s="591"/>
      <c r="FF65" s="591"/>
      <c r="FG65" s="591"/>
      <c r="FH65" s="591"/>
      <c r="FI65" s="591"/>
      <c r="FJ65" s="591"/>
      <c r="FK65" s="591"/>
      <c r="FL65" s="591"/>
      <c r="FM65" s="591"/>
      <c r="FN65" s="591"/>
      <c r="FO65" s="591"/>
      <c r="FP65" s="591"/>
      <c r="FQ65" s="591"/>
      <c r="FR65" s="591"/>
      <c r="FS65" s="591"/>
      <c r="FT65" s="591"/>
      <c r="FU65" s="591"/>
      <c r="FV65" s="591"/>
      <c r="FW65" s="591"/>
      <c r="FX65" s="591"/>
      <c r="FY65" s="591"/>
      <c r="FZ65" s="591"/>
      <c r="GA65" s="591"/>
      <c r="GB65" s="591"/>
      <c r="GC65" s="591"/>
      <c r="GD65" s="591"/>
      <c r="GE65" s="591"/>
      <c r="GF65" s="591"/>
      <c r="GG65" s="591"/>
      <c r="GH65" s="591"/>
      <c r="GI65" s="591"/>
      <c r="GJ65" s="591"/>
      <c r="GK65" s="591"/>
      <c r="GL65" s="591"/>
      <c r="GM65" s="591"/>
      <c r="GN65" s="591"/>
      <c r="GO65" s="591"/>
      <c r="GP65" s="591"/>
      <c r="GQ65" s="591"/>
      <c r="GR65" s="591"/>
      <c r="GS65" s="591"/>
      <c r="GT65" s="591"/>
      <c r="GU65" s="591"/>
      <c r="GV65" s="591"/>
      <c r="GW65" s="591"/>
      <c r="GX65" s="591"/>
      <c r="GY65" s="591"/>
      <c r="GZ65" s="591"/>
      <c r="HA65" s="591"/>
      <c r="HB65" s="591"/>
      <c r="HC65" s="591"/>
      <c r="HD65" s="591"/>
      <c r="HE65" s="591"/>
      <c r="HF65" s="591"/>
      <c r="HG65" s="591"/>
      <c r="HH65" s="591"/>
      <c r="HI65" s="591"/>
      <c r="HJ65" s="591"/>
      <c r="HK65" s="591"/>
      <c r="HL65" s="591"/>
      <c r="HM65" s="591"/>
      <c r="HN65" s="591"/>
      <c r="HO65" s="591"/>
      <c r="HP65" s="591"/>
      <c r="HQ65" s="591"/>
      <c r="HR65" s="591"/>
      <c r="HS65" s="591"/>
      <c r="HT65" s="591"/>
      <c r="HU65" s="591"/>
      <c r="HV65" s="591"/>
      <c r="HW65" s="591"/>
      <c r="HX65" s="591"/>
      <c r="HY65" s="591"/>
      <c r="HZ65" s="591"/>
      <c r="IA65" s="591"/>
      <c r="IB65" s="591"/>
      <c r="IC65" s="591"/>
      <c r="ID65" s="591"/>
      <c r="IE65" s="591"/>
      <c r="IF65" s="591"/>
      <c r="IG65" s="591"/>
      <c r="IH65" s="591"/>
      <c r="II65" s="591"/>
      <c r="IJ65" s="591"/>
      <c r="IK65" s="591"/>
      <c r="IL65" s="591"/>
      <c r="IM65" s="591"/>
      <c r="IN65" s="591"/>
      <c r="IO65" s="591"/>
      <c r="IP65" s="591"/>
      <c r="IQ65" s="591"/>
      <c r="IR65" s="591"/>
      <c r="IS65" s="591"/>
      <c r="IT65" s="591"/>
      <c r="IU65" s="591"/>
      <c r="IV65" s="591"/>
    </row>
    <row r="66" spans="1:256" ht="52.5">
      <c r="A66" s="27" t="s">
        <v>297</v>
      </c>
      <c r="B66" s="535"/>
      <c r="C66" s="535" t="s">
        <v>637</v>
      </c>
      <c r="D66" s="592">
        <v>33342.1</v>
      </c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91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  <c r="BG66" s="591"/>
      <c r="BH66" s="591"/>
      <c r="BI66" s="591"/>
      <c r="BJ66" s="591"/>
      <c r="BK66" s="591"/>
      <c r="BL66" s="591"/>
      <c r="BM66" s="591"/>
      <c r="BN66" s="591"/>
      <c r="BO66" s="591"/>
      <c r="BP66" s="591"/>
      <c r="BQ66" s="591"/>
      <c r="BR66" s="591"/>
      <c r="BS66" s="591"/>
      <c r="BT66" s="591"/>
      <c r="BU66" s="591"/>
      <c r="BV66" s="591"/>
      <c r="BW66" s="591"/>
      <c r="BX66" s="591"/>
      <c r="BY66" s="591"/>
      <c r="BZ66" s="591"/>
      <c r="CA66" s="591"/>
      <c r="CB66" s="591"/>
      <c r="CC66" s="591"/>
      <c r="CD66" s="591"/>
      <c r="CE66" s="591"/>
      <c r="CF66" s="591"/>
      <c r="CG66" s="591"/>
      <c r="CH66" s="591"/>
      <c r="CI66" s="591"/>
      <c r="CJ66" s="591"/>
      <c r="CK66" s="591"/>
      <c r="CL66" s="591"/>
      <c r="CM66" s="591"/>
      <c r="CN66" s="591"/>
      <c r="CO66" s="591"/>
      <c r="CP66" s="591"/>
      <c r="CQ66" s="591"/>
      <c r="CR66" s="591"/>
      <c r="CS66" s="591"/>
      <c r="CT66" s="591"/>
      <c r="CU66" s="591"/>
      <c r="CV66" s="591"/>
      <c r="CW66" s="591"/>
      <c r="CX66" s="591"/>
      <c r="CY66" s="591"/>
      <c r="CZ66" s="591"/>
      <c r="DA66" s="591"/>
      <c r="DB66" s="591"/>
      <c r="DC66" s="591"/>
      <c r="DD66" s="591"/>
      <c r="DE66" s="591"/>
      <c r="DF66" s="591"/>
      <c r="DG66" s="591"/>
      <c r="DH66" s="591"/>
      <c r="DI66" s="591"/>
      <c r="DJ66" s="591"/>
      <c r="DK66" s="591"/>
      <c r="DL66" s="591"/>
      <c r="DM66" s="591"/>
      <c r="DN66" s="591"/>
      <c r="DO66" s="591"/>
      <c r="DP66" s="591"/>
      <c r="DQ66" s="591"/>
      <c r="DR66" s="591"/>
      <c r="DS66" s="591"/>
      <c r="DT66" s="591"/>
      <c r="DU66" s="591"/>
      <c r="DV66" s="591"/>
      <c r="DW66" s="591"/>
      <c r="DX66" s="591"/>
      <c r="DY66" s="591"/>
      <c r="DZ66" s="591"/>
      <c r="EA66" s="591"/>
      <c r="EB66" s="591"/>
      <c r="EC66" s="591"/>
      <c r="ED66" s="591"/>
      <c r="EE66" s="591"/>
      <c r="EF66" s="591"/>
      <c r="EG66" s="591"/>
      <c r="EH66" s="591"/>
      <c r="EI66" s="591"/>
      <c r="EJ66" s="591"/>
      <c r="EK66" s="591"/>
      <c r="EL66" s="591"/>
      <c r="EM66" s="591"/>
      <c r="EN66" s="591"/>
      <c r="EO66" s="591"/>
      <c r="EP66" s="591"/>
      <c r="EQ66" s="591"/>
      <c r="ER66" s="591"/>
      <c r="ES66" s="591"/>
      <c r="ET66" s="591"/>
      <c r="EU66" s="591"/>
      <c r="EV66" s="591"/>
      <c r="EW66" s="591"/>
      <c r="EX66" s="591"/>
      <c r="EY66" s="591"/>
      <c r="EZ66" s="591"/>
      <c r="FA66" s="591"/>
      <c r="FB66" s="591"/>
      <c r="FC66" s="591"/>
      <c r="FD66" s="591"/>
      <c r="FE66" s="591"/>
      <c r="FF66" s="591"/>
      <c r="FG66" s="591"/>
      <c r="FH66" s="591"/>
      <c r="FI66" s="591"/>
      <c r="FJ66" s="591"/>
      <c r="FK66" s="591"/>
      <c r="FL66" s="591"/>
      <c r="FM66" s="591"/>
      <c r="FN66" s="591"/>
      <c r="FO66" s="591"/>
      <c r="FP66" s="591"/>
      <c r="FQ66" s="591"/>
      <c r="FR66" s="591"/>
      <c r="FS66" s="591"/>
      <c r="FT66" s="591"/>
      <c r="FU66" s="591"/>
      <c r="FV66" s="591"/>
      <c r="FW66" s="591"/>
      <c r="FX66" s="591"/>
      <c r="FY66" s="591"/>
      <c r="FZ66" s="591"/>
      <c r="GA66" s="591"/>
      <c r="GB66" s="591"/>
      <c r="GC66" s="591"/>
      <c r="GD66" s="591"/>
      <c r="GE66" s="591"/>
      <c r="GF66" s="591"/>
      <c r="GG66" s="591"/>
      <c r="GH66" s="591"/>
      <c r="GI66" s="591"/>
      <c r="GJ66" s="591"/>
      <c r="GK66" s="591"/>
      <c r="GL66" s="591"/>
      <c r="GM66" s="591"/>
      <c r="GN66" s="591"/>
      <c r="GO66" s="591"/>
      <c r="GP66" s="591"/>
      <c r="GQ66" s="591"/>
      <c r="GR66" s="591"/>
      <c r="GS66" s="591"/>
      <c r="GT66" s="591"/>
      <c r="GU66" s="591"/>
      <c r="GV66" s="591"/>
      <c r="GW66" s="591"/>
      <c r="GX66" s="591"/>
      <c r="GY66" s="591"/>
      <c r="GZ66" s="591"/>
      <c r="HA66" s="591"/>
      <c r="HB66" s="591"/>
      <c r="HC66" s="591"/>
      <c r="HD66" s="591"/>
      <c r="HE66" s="591"/>
      <c r="HF66" s="591"/>
      <c r="HG66" s="591"/>
      <c r="HH66" s="591"/>
      <c r="HI66" s="591"/>
      <c r="HJ66" s="591"/>
      <c r="HK66" s="591"/>
      <c r="HL66" s="591"/>
      <c r="HM66" s="591"/>
      <c r="HN66" s="591"/>
      <c r="HO66" s="591"/>
      <c r="HP66" s="591"/>
      <c r="HQ66" s="591"/>
      <c r="HR66" s="591"/>
      <c r="HS66" s="591"/>
      <c r="HT66" s="591"/>
      <c r="HU66" s="591"/>
      <c r="HV66" s="591"/>
      <c r="HW66" s="591"/>
      <c r="HX66" s="591"/>
      <c r="HY66" s="591"/>
      <c r="HZ66" s="591"/>
      <c r="IA66" s="591"/>
      <c r="IB66" s="591"/>
      <c r="IC66" s="591"/>
      <c r="ID66" s="591"/>
      <c r="IE66" s="591"/>
      <c r="IF66" s="591"/>
      <c r="IG66" s="591"/>
      <c r="IH66" s="591"/>
      <c r="II66" s="591"/>
      <c r="IJ66" s="591"/>
      <c r="IK66" s="591"/>
      <c r="IL66" s="591"/>
      <c r="IM66" s="591"/>
      <c r="IN66" s="591"/>
      <c r="IO66" s="591"/>
      <c r="IP66" s="591"/>
      <c r="IQ66" s="591"/>
      <c r="IR66" s="591"/>
      <c r="IS66" s="591"/>
      <c r="IT66" s="591"/>
      <c r="IU66" s="591"/>
      <c r="IV66" s="591"/>
    </row>
    <row r="67" spans="1:256" ht="26.25">
      <c r="A67" s="27" t="s">
        <v>1599</v>
      </c>
      <c r="B67" s="535"/>
      <c r="C67" s="535" t="s">
        <v>1521</v>
      </c>
      <c r="D67" s="592">
        <v>0</v>
      </c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I67" s="591"/>
      <c r="AJ67" s="591"/>
      <c r="AK67" s="591"/>
      <c r="AL67" s="591"/>
      <c r="AM67" s="591"/>
      <c r="AN67" s="591"/>
      <c r="AO67" s="591"/>
      <c r="AP67" s="591"/>
      <c r="AQ67" s="591"/>
      <c r="AR67" s="591"/>
      <c r="AS67" s="591"/>
      <c r="AT67" s="591"/>
      <c r="AU67" s="591"/>
      <c r="AV67" s="591"/>
      <c r="AW67" s="591"/>
      <c r="AX67" s="591"/>
      <c r="AY67" s="591"/>
      <c r="AZ67" s="591"/>
      <c r="BA67" s="591"/>
      <c r="BB67" s="591"/>
      <c r="BC67" s="591"/>
      <c r="BD67" s="591"/>
      <c r="BE67" s="591"/>
      <c r="BF67" s="591"/>
      <c r="BG67" s="591"/>
      <c r="BH67" s="591"/>
      <c r="BI67" s="591"/>
      <c r="BJ67" s="591"/>
      <c r="BK67" s="591"/>
      <c r="BL67" s="591"/>
      <c r="BM67" s="591"/>
      <c r="BN67" s="591"/>
      <c r="BO67" s="591"/>
      <c r="BP67" s="591"/>
      <c r="BQ67" s="591"/>
      <c r="BR67" s="591"/>
      <c r="BS67" s="591"/>
      <c r="BT67" s="591"/>
      <c r="BU67" s="591"/>
      <c r="BV67" s="591"/>
      <c r="BW67" s="591"/>
      <c r="BX67" s="591"/>
      <c r="BY67" s="591"/>
      <c r="BZ67" s="591"/>
      <c r="CA67" s="591"/>
      <c r="CB67" s="591"/>
      <c r="CC67" s="591"/>
      <c r="CD67" s="591"/>
      <c r="CE67" s="591"/>
      <c r="CF67" s="591"/>
      <c r="CG67" s="591"/>
      <c r="CH67" s="591"/>
      <c r="CI67" s="591"/>
      <c r="CJ67" s="591"/>
      <c r="CK67" s="591"/>
      <c r="CL67" s="591"/>
      <c r="CM67" s="591"/>
      <c r="CN67" s="591"/>
      <c r="CO67" s="591"/>
      <c r="CP67" s="591"/>
      <c r="CQ67" s="591"/>
      <c r="CR67" s="591"/>
      <c r="CS67" s="591"/>
      <c r="CT67" s="591"/>
      <c r="CU67" s="591"/>
      <c r="CV67" s="591"/>
      <c r="CW67" s="591"/>
      <c r="CX67" s="591"/>
      <c r="CY67" s="591"/>
      <c r="CZ67" s="591"/>
      <c r="DA67" s="591"/>
      <c r="DB67" s="591"/>
      <c r="DC67" s="591"/>
      <c r="DD67" s="591"/>
      <c r="DE67" s="591"/>
      <c r="DF67" s="591"/>
      <c r="DG67" s="591"/>
      <c r="DH67" s="591"/>
      <c r="DI67" s="591"/>
      <c r="DJ67" s="591"/>
      <c r="DK67" s="591"/>
      <c r="DL67" s="591"/>
      <c r="DM67" s="591"/>
      <c r="DN67" s="591"/>
      <c r="DO67" s="591"/>
      <c r="DP67" s="591"/>
      <c r="DQ67" s="591"/>
      <c r="DR67" s="591"/>
      <c r="DS67" s="591"/>
      <c r="DT67" s="591"/>
      <c r="DU67" s="591"/>
      <c r="DV67" s="591"/>
      <c r="DW67" s="591"/>
      <c r="DX67" s="591"/>
      <c r="DY67" s="591"/>
      <c r="DZ67" s="591"/>
      <c r="EA67" s="591"/>
      <c r="EB67" s="591"/>
      <c r="EC67" s="591"/>
      <c r="ED67" s="591"/>
      <c r="EE67" s="591"/>
      <c r="EF67" s="591"/>
      <c r="EG67" s="591"/>
      <c r="EH67" s="591"/>
      <c r="EI67" s="591"/>
      <c r="EJ67" s="591"/>
      <c r="EK67" s="591"/>
      <c r="EL67" s="591"/>
      <c r="EM67" s="591"/>
      <c r="EN67" s="591"/>
      <c r="EO67" s="591"/>
      <c r="EP67" s="591"/>
      <c r="EQ67" s="591"/>
      <c r="ER67" s="591"/>
      <c r="ES67" s="591"/>
      <c r="ET67" s="591"/>
      <c r="EU67" s="591"/>
      <c r="EV67" s="591"/>
      <c r="EW67" s="591"/>
      <c r="EX67" s="591"/>
      <c r="EY67" s="591"/>
      <c r="EZ67" s="591"/>
      <c r="FA67" s="591"/>
      <c r="FB67" s="591"/>
      <c r="FC67" s="591"/>
      <c r="FD67" s="591"/>
      <c r="FE67" s="591"/>
      <c r="FF67" s="591"/>
      <c r="FG67" s="591"/>
      <c r="FH67" s="591"/>
      <c r="FI67" s="591"/>
      <c r="FJ67" s="591"/>
      <c r="FK67" s="591"/>
      <c r="FL67" s="591"/>
      <c r="FM67" s="591"/>
      <c r="FN67" s="591"/>
      <c r="FO67" s="591"/>
      <c r="FP67" s="591"/>
      <c r="FQ67" s="591"/>
      <c r="FR67" s="591"/>
      <c r="FS67" s="591"/>
      <c r="FT67" s="591"/>
      <c r="FU67" s="591"/>
      <c r="FV67" s="591"/>
      <c r="FW67" s="591"/>
      <c r="FX67" s="591"/>
      <c r="FY67" s="591"/>
      <c r="FZ67" s="591"/>
      <c r="GA67" s="591"/>
      <c r="GB67" s="591"/>
      <c r="GC67" s="591"/>
      <c r="GD67" s="591"/>
      <c r="GE67" s="591"/>
      <c r="GF67" s="591"/>
      <c r="GG67" s="591"/>
      <c r="GH67" s="591"/>
      <c r="GI67" s="591"/>
      <c r="GJ67" s="591"/>
      <c r="GK67" s="591"/>
      <c r="GL67" s="591"/>
      <c r="GM67" s="591"/>
      <c r="GN67" s="591"/>
      <c r="GO67" s="591"/>
      <c r="GP67" s="591"/>
      <c r="GQ67" s="591"/>
      <c r="GR67" s="591"/>
      <c r="GS67" s="591"/>
      <c r="GT67" s="591"/>
      <c r="GU67" s="591"/>
      <c r="GV67" s="591"/>
      <c r="GW67" s="591"/>
      <c r="GX67" s="591"/>
      <c r="GY67" s="591"/>
      <c r="GZ67" s="591"/>
      <c r="HA67" s="591"/>
      <c r="HB67" s="591"/>
      <c r="HC67" s="591"/>
      <c r="HD67" s="591"/>
      <c r="HE67" s="591"/>
      <c r="HF67" s="591"/>
      <c r="HG67" s="591"/>
      <c r="HH67" s="591"/>
      <c r="HI67" s="591"/>
      <c r="HJ67" s="591"/>
      <c r="HK67" s="591"/>
      <c r="HL67" s="591"/>
      <c r="HM67" s="591"/>
      <c r="HN67" s="591"/>
      <c r="HO67" s="591"/>
      <c r="HP67" s="591"/>
      <c r="HQ67" s="591"/>
      <c r="HR67" s="591"/>
      <c r="HS67" s="591"/>
      <c r="HT67" s="591"/>
      <c r="HU67" s="591"/>
      <c r="HV67" s="591"/>
      <c r="HW67" s="591"/>
      <c r="HX67" s="591"/>
      <c r="HY67" s="591"/>
      <c r="HZ67" s="591"/>
      <c r="IA67" s="591"/>
      <c r="IB67" s="591"/>
      <c r="IC67" s="591"/>
      <c r="ID67" s="591"/>
      <c r="IE67" s="591"/>
      <c r="IF67" s="591"/>
      <c r="IG67" s="591"/>
      <c r="IH67" s="591"/>
      <c r="II67" s="591"/>
      <c r="IJ67" s="591"/>
      <c r="IK67" s="591"/>
      <c r="IL67" s="591"/>
      <c r="IM67" s="591"/>
      <c r="IN67" s="591"/>
      <c r="IO67" s="591"/>
      <c r="IP67" s="591"/>
      <c r="IQ67" s="591"/>
      <c r="IR67" s="591"/>
      <c r="IS67" s="591"/>
      <c r="IT67" s="591"/>
      <c r="IU67" s="591"/>
      <c r="IV67" s="591"/>
    </row>
    <row r="68" spans="1:256" ht="13.5">
      <c r="A68" s="27" t="s">
        <v>512</v>
      </c>
      <c r="B68" s="535"/>
      <c r="C68" s="535" t="s">
        <v>513</v>
      </c>
      <c r="D68" s="592">
        <v>1524681.8</v>
      </c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91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  <c r="BG68" s="591"/>
      <c r="BH68" s="591"/>
      <c r="BI68" s="591"/>
      <c r="BJ68" s="591"/>
      <c r="BK68" s="591"/>
      <c r="BL68" s="591"/>
      <c r="BM68" s="591"/>
      <c r="BN68" s="591"/>
      <c r="BO68" s="591"/>
      <c r="BP68" s="591"/>
      <c r="BQ68" s="591"/>
      <c r="BR68" s="591"/>
      <c r="BS68" s="591"/>
      <c r="BT68" s="591"/>
      <c r="BU68" s="591"/>
      <c r="BV68" s="591"/>
      <c r="BW68" s="591"/>
      <c r="BX68" s="591"/>
      <c r="BY68" s="591"/>
      <c r="BZ68" s="591"/>
      <c r="CA68" s="591"/>
      <c r="CB68" s="591"/>
      <c r="CC68" s="591"/>
      <c r="CD68" s="591"/>
      <c r="CE68" s="591"/>
      <c r="CF68" s="591"/>
      <c r="CG68" s="591"/>
      <c r="CH68" s="591"/>
      <c r="CI68" s="591"/>
      <c r="CJ68" s="591"/>
      <c r="CK68" s="591"/>
      <c r="CL68" s="591"/>
      <c r="CM68" s="591"/>
      <c r="CN68" s="591"/>
      <c r="CO68" s="591"/>
      <c r="CP68" s="591"/>
      <c r="CQ68" s="591"/>
      <c r="CR68" s="591"/>
      <c r="CS68" s="591"/>
      <c r="CT68" s="591"/>
      <c r="CU68" s="591"/>
      <c r="CV68" s="591"/>
      <c r="CW68" s="591"/>
      <c r="CX68" s="591"/>
      <c r="CY68" s="591"/>
      <c r="CZ68" s="591"/>
      <c r="DA68" s="591"/>
      <c r="DB68" s="591"/>
      <c r="DC68" s="591"/>
      <c r="DD68" s="591"/>
      <c r="DE68" s="591"/>
      <c r="DF68" s="591"/>
      <c r="DG68" s="591"/>
      <c r="DH68" s="591"/>
      <c r="DI68" s="591"/>
      <c r="DJ68" s="591"/>
      <c r="DK68" s="591"/>
      <c r="DL68" s="591"/>
      <c r="DM68" s="591"/>
      <c r="DN68" s="591"/>
      <c r="DO68" s="591"/>
      <c r="DP68" s="591"/>
      <c r="DQ68" s="591"/>
      <c r="DR68" s="591"/>
      <c r="DS68" s="591"/>
      <c r="DT68" s="591"/>
      <c r="DU68" s="591"/>
      <c r="DV68" s="591"/>
      <c r="DW68" s="591"/>
      <c r="DX68" s="591"/>
      <c r="DY68" s="591"/>
      <c r="DZ68" s="591"/>
      <c r="EA68" s="591"/>
      <c r="EB68" s="591"/>
      <c r="EC68" s="591"/>
      <c r="ED68" s="591"/>
      <c r="EE68" s="591"/>
      <c r="EF68" s="591"/>
      <c r="EG68" s="591"/>
      <c r="EH68" s="591"/>
      <c r="EI68" s="591"/>
      <c r="EJ68" s="591"/>
      <c r="EK68" s="591"/>
      <c r="EL68" s="591"/>
      <c r="EM68" s="591"/>
      <c r="EN68" s="591"/>
      <c r="EO68" s="591"/>
      <c r="EP68" s="591"/>
      <c r="EQ68" s="591"/>
      <c r="ER68" s="591"/>
      <c r="ES68" s="591"/>
      <c r="ET68" s="591"/>
      <c r="EU68" s="591"/>
      <c r="EV68" s="591"/>
      <c r="EW68" s="591"/>
      <c r="EX68" s="591"/>
      <c r="EY68" s="591"/>
      <c r="EZ68" s="591"/>
      <c r="FA68" s="591"/>
      <c r="FB68" s="591"/>
      <c r="FC68" s="591"/>
      <c r="FD68" s="591"/>
      <c r="FE68" s="591"/>
      <c r="FF68" s="591"/>
      <c r="FG68" s="591"/>
      <c r="FH68" s="591"/>
      <c r="FI68" s="591"/>
      <c r="FJ68" s="591"/>
      <c r="FK68" s="591"/>
      <c r="FL68" s="591"/>
      <c r="FM68" s="591"/>
      <c r="FN68" s="591"/>
      <c r="FO68" s="591"/>
      <c r="FP68" s="591"/>
      <c r="FQ68" s="591"/>
      <c r="FR68" s="591"/>
      <c r="FS68" s="591"/>
      <c r="FT68" s="591"/>
      <c r="FU68" s="591"/>
      <c r="FV68" s="591"/>
      <c r="FW68" s="591"/>
      <c r="FX68" s="591"/>
      <c r="FY68" s="591"/>
      <c r="FZ68" s="591"/>
      <c r="GA68" s="591"/>
      <c r="GB68" s="591"/>
      <c r="GC68" s="591"/>
      <c r="GD68" s="591"/>
      <c r="GE68" s="591"/>
      <c r="GF68" s="591"/>
      <c r="GG68" s="591"/>
      <c r="GH68" s="591"/>
      <c r="GI68" s="591"/>
      <c r="GJ68" s="591"/>
      <c r="GK68" s="591"/>
      <c r="GL68" s="591"/>
      <c r="GM68" s="591"/>
      <c r="GN68" s="591"/>
      <c r="GO68" s="591"/>
      <c r="GP68" s="591"/>
      <c r="GQ68" s="591"/>
      <c r="GR68" s="591"/>
      <c r="GS68" s="591"/>
      <c r="GT68" s="591"/>
      <c r="GU68" s="591"/>
      <c r="GV68" s="591"/>
      <c r="GW68" s="591"/>
      <c r="GX68" s="591"/>
      <c r="GY68" s="591"/>
      <c r="GZ68" s="591"/>
      <c r="HA68" s="591"/>
      <c r="HB68" s="591"/>
      <c r="HC68" s="591"/>
      <c r="HD68" s="591"/>
      <c r="HE68" s="591"/>
      <c r="HF68" s="591"/>
      <c r="HG68" s="591"/>
      <c r="HH68" s="591"/>
      <c r="HI68" s="591"/>
      <c r="HJ68" s="591"/>
      <c r="HK68" s="591"/>
      <c r="HL68" s="591"/>
      <c r="HM68" s="591"/>
      <c r="HN68" s="591"/>
      <c r="HO68" s="591"/>
      <c r="HP68" s="591"/>
      <c r="HQ68" s="591"/>
      <c r="HR68" s="591"/>
      <c r="HS68" s="591"/>
      <c r="HT68" s="591"/>
      <c r="HU68" s="591"/>
      <c r="HV68" s="591"/>
      <c r="HW68" s="591"/>
      <c r="HX68" s="591"/>
      <c r="HY68" s="591"/>
      <c r="HZ68" s="591"/>
      <c r="IA68" s="591"/>
      <c r="IB68" s="591"/>
      <c r="IC68" s="591"/>
      <c r="ID68" s="591"/>
      <c r="IE68" s="591"/>
      <c r="IF68" s="591"/>
      <c r="IG68" s="591"/>
      <c r="IH68" s="591"/>
      <c r="II68" s="591"/>
      <c r="IJ68" s="591"/>
      <c r="IK68" s="591"/>
      <c r="IL68" s="591"/>
      <c r="IM68" s="591"/>
      <c r="IN68" s="591"/>
      <c r="IO68" s="591"/>
      <c r="IP68" s="591"/>
      <c r="IQ68" s="591"/>
      <c r="IR68" s="591"/>
      <c r="IS68" s="591"/>
      <c r="IT68" s="591"/>
      <c r="IU68" s="591"/>
      <c r="IV68" s="591"/>
    </row>
    <row r="69" spans="1:256" ht="39">
      <c r="A69" s="27" t="s">
        <v>356</v>
      </c>
      <c r="B69" s="535"/>
      <c r="C69" s="535" t="s">
        <v>118</v>
      </c>
      <c r="D69" s="592">
        <v>2300</v>
      </c>
      <c r="E69" s="591"/>
      <c r="F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91"/>
      <c r="AS69" s="591"/>
      <c r="AT69" s="591"/>
      <c r="AU69" s="591"/>
      <c r="AV69" s="591"/>
      <c r="AW69" s="591"/>
      <c r="AX69" s="591"/>
      <c r="AY69" s="591"/>
      <c r="AZ69" s="591"/>
      <c r="BA69" s="591"/>
      <c r="BB69" s="591"/>
      <c r="BC69" s="591"/>
      <c r="BD69" s="591"/>
      <c r="BE69" s="591"/>
      <c r="BF69" s="591"/>
      <c r="BG69" s="591"/>
      <c r="BH69" s="591"/>
      <c r="BI69" s="591"/>
      <c r="BJ69" s="591"/>
      <c r="BK69" s="591"/>
      <c r="BL69" s="591"/>
      <c r="BM69" s="591"/>
      <c r="BN69" s="591"/>
      <c r="BO69" s="591"/>
      <c r="BP69" s="591"/>
      <c r="BQ69" s="591"/>
      <c r="BR69" s="591"/>
      <c r="BS69" s="591"/>
      <c r="BT69" s="591"/>
      <c r="BU69" s="591"/>
      <c r="BV69" s="591"/>
      <c r="BW69" s="591"/>
      <c r="BX69" s="591"/>
      <c r="BY69" s="591"/>
      <c r="BZ69" s="591"/>
      <c r="CA69" s="591"/>
      <c r="CB69" s="591"/>
      <c r="CC69" s="591"/>
      <c r="CD69" s="591"/>
      <c r="CE69" s="591"/>
      <c r="CF69" s="591"/>
      <c r="CG69" s="591"/>
      <c r="CH69" s="591"/>
      <c r="CI69" s="591"/>
      <c r="CJ69" s="591"/>
      <c r="CK69" s="591"/>
      <c r="CL69" s="591"/>
      <c r="CM69" s="591"/>
      <c r="CN69" s="591"/>
      <c r="CO69" s="591"/>
      <c r="CP69" s="591"/>
      <c r="CQ69" s="591"/>
      <c r="CR69" s="591"/>
      <c r="CS69" s="591"/>
      <c r="CT69" s="591"/>
      <c r="CU69" s="591"/>
      <c r="CV69" s="591"/>
      <c r="CW69" s="591"/>
      <c r="CX69" s="591"/>
      <c r="CY69" s="591"/>
      <c r="CZ69" s="591"/>
      <c r="DA69" s="591"/>
      <c r="DB69" s="591"/>
      <c r="DC69" s="591"/>
      <c r="DD69" s="591"/>
      <c r="DE69" s="591"/>
      <c r="DF69" s="591"/>
      <c r="DG69" s="591"/>
      <c r="DH69" s="591"/>
      <c r="DI69" s="591"/>
      <c r="DJ69" s="591"/>
      <c r="DK69" s="591"/>
      <c r="DL69" s="591"/>
      <c r="DM69" s="591"/>
      <c r="DN69" s="591"/>
      <c r="DO69" s="591"/>
      <c r="DP69" s="591"/>
      <c r="DQ69" s="591"/>
      <c r="DR69" s="591"/>
      <c r="DS69" s="591"/>
      <c r="DT69" s="591"/>
      <c r="DU69" s="591"/>
      <c r="DV69" s="591"/>
      <c r="DW69" s="591"/>
      <c r="DX69" s="591"/>
      <c r="DY69" s="591"/>
      <c r="DZ69" s="591"/>
      <c r="EA69" s="591"/>
      <c r="EB69" s="591"/>
      <c r="EC69" s="591"/>
      <c r="ED69" s="591"/>
      <c r="EE69" s="591"/>
      <c r="EF69" s="591"/>
      <c r="EG69" s="591"/>
      <c r="EH69" s="591"/>
      <c r="EI69" s="591"/>
      <c r="EJ69" s="591"/>
      <c r="EK69" s="591"/>
      <c r="EL69" s="591"/>
      <c r="EM69" s="591"/>
      <c r="EN69" s="591"/>
      <c r="EO69" s="591"/>
      <c r="EP69" s="591"/>
      <c r="EQ69" s="591"/>
      <c r="ER69" s="591"/>
      <c r="ES69" s="591"/>
      <c r="ET69" s="591"/>
      <c r="EU69" s="591"/>
      <c r="EV69" s="591"/>
      <c r="EW69" s="591"/>
      <c r="EX69" s="591"/>
      <c r="EY69" s="591"/>
      <c r="EZ69" s="591"/>
      <c r="FA69" s="591"/>
      <c r="FB69" s="591"/>
      <c r="FC69" s="591"/>
      <c r="FD69" s="591"/>
      <c r="FE69" s="591"/>
      <c r="FF69" s="591"/>
      <c r="FG69" s="591"/>
      <c r="FH69" s="591"/>
      <c r="FI69" s="591"/>
      <c r="FJ69" s="591"/>
      <c r="FK69" s="591"/>
      <c r="FL69" s="591"/>
      <c r="FM69" s="591"/>
      <c r="FN69" s="591"/>
      <c r="FO69" s="591"/>
      <c r="FP69" s="591"/>
      <c r="FQ69" s="591"/>
      <c r="FR69" s="591"/>
      <c r="FS69" s="591"/>
      <c r="FT69" s="591"/>
      <c r="FU69" s="591"/>
      <c r="FV69" s="591"/>
      <c r="FW69" s="591"/>
      <c r="FX69" s="591"/>
      <c r="FY69" s="591"/>
      <c r="FZ69" s="591"/>
      <c r="GA69" s="591"/>
      <c r="GB69" s="591"/>
      <c r="GC69" s="591"/>
      <c r="GD69" s="591"/>
      <c r="GE69" s="591"/>
      <c r="GF69" s="591"/>
      <c r="GG69" s="591"/>
      <c r="GH69" s="591"/>
      <c r="GI69" s="591"/>
      <c r="GJ69" s="591"/>
      <c r="GK69" s="591"/>
      <c r="GL69" s="591"/>
      <c r="GM69" s="591"/>
      <c r="GN69" s="591"/>
      <c r="GO69" s="591"/>
      <c r="GP69" s="591"/>
      <c r="GQ69" s="591"/>
      <c r="GR69" s="591"/>
      <c r="GS69" s="591"/>
      <c r="GT69" s="591"/>
      <c r="GU69" s="591"/>
      <c r="GV69" s="591"/>
      <c r="GW69" s="591"/>
      <c r="GX69" s="591"/>
      <c r="GY69" s="591"/>
      <c r="GZ69" s="591"/>
      <c r="HA69" s="591"/>
      <c r="HB69" s="591"/>
      <c r="HC69" s="591"/>
      <c r="HD69" s="591"/>
      <c r="HE69" s="591"/>
      <c r="HF69" s="591"/>
      <c r="HG69" s="591"/>
      <c r="HH69" s="591"/>
      <c r="HI69" s="591"/>
      <c r="HJ69" s="591"/>
      <c r="HK69" s="591"/>
      <c r="HL69" s="591"/>
      <c r="HM69" s="591"/>
      <c r="HN69" s="591"/>
      <c r="HO69" s="591"/>
      <c r="HP69" s="591"/>
      <c r="HQ69" s="591"/>
      <c r="HR69" s="591"/>
      <c r="HS69" s="591"/>
      <c r="HT69" s="591"/>
      <c r="HU69" s="591"/>
      <c r="HV69" s="591"/>
      <c r="HW69" s="591"/>
      <c r="HX69" s="591"/>
      <c r="HY69" s="591"/>
      <c r="HZ69" s="591"/>
      <c r="IA69" s="591"/>
      <c r="IB69" s="591"/>
      <c r="IC69" s="591"/>
      <c r="ID69" s="591"/>
      <c r="IE69" s="591"/>
      <c r="IF69" s="591"/>
      <c r="IG69" s="591"/>
      <c r="IH69" s="591"/>
      <c r="II69" s="591"/>
      <c r="IJ69" s="591"/>
      <c r="IK69" s="591"/>
      <c r="IL69" s="591"/>
      <c r="IM69" s="591"/>
      <c r="IN69" s="591"/>
      <c r="IO69" s="591"/>
      <c r="IP69" s="591"/>
      <c r="IQ69" s="591"/>
      <c r="IR69" s="591"/>
      <c r="IS69" s="591"/>
      <c r="IT69" s="591"/>
      <c r="IU69" s="591"/>
      <c r="IV69" s="591"/>
    </row>
    <row r="70" spans="1:256" ht="26.25">
      <c r="A70" s="27" t="s">
        <v>320</v>
      </c>
      <c r="B70" s="535"/>
      <c r="C70" s="535" t="s">
        <v>633</v>
      </c>
      <c r="D70" s="594">
        <v>-13094.6</v>
      </c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91"/>
      <c r="AS70" s="591"/>
      <c r="AT70" s="591"/>
      <c r="AU70" s="591"/>
      <c r="AV70" s="591"/>
      <c r="AW70" s="591"/>
      <c r="AX70" s="591"/>
      <c r="AY70" s="591"/>
      <c r="AZ70" s="591"/>
      <c r="BA70" s="591"/>
      <c r="BB70" s="591"/>
      <c r="BC70" s="591"/>
      <c r="BD70" s="591"/>
      <c r="BE70" s="591"/>
      <c r="BF70" s="591"/>
      <c r="BG70" s="591"/>
      <c r="BH70" s="591"/>
      <c r="BI70" s="591"/>
      <c r="BJ70" s="591"/>
      <c r="BK70" s="591"/>
      <c r="BL70" s="591"/>
      <c r="BM70" s="591"/>
      <c r="BN70" s="591"/>
      <c r="BO70" s="591"/>
      <c r="BP70" s="591"/>
      <c r="BQ70" s="591"/>
      <c r="BR70" s="591"/>
      <c r="BS70" s="591"/>
      <c r="BT70" s="591"/>
      <c r="BU70" s="591"/>
      <c r="BV70" s="591"/>
      <c r="BW70" s="591"/>
      <c r="BX70" s="591"/>
      <c r="BY70" s="591"/>
      <c r="BZ70" s="591"/>
      <c r="CA70" s="591"/>
      <c r="CB70" s="591"/>
      <c r="CC70" s="591"/>
      <c r="CD70" s="591"/>
      <c r="CE70" s="591"/>
      <c r="CF70" s="591"/>
      <c r="CG70" s="591"/>
      <c r="CH70" s="591"/>
      <c r="CI70" s="591"/>
      <c r="CJ70" s="591"/>
      <c r="CK70" s="591"/>
      <c r="CL70" s="591"/>
      <c r="CM70" s="591"/>
      <c r="CN70" s="591"/>
      <c r="CO70" s="591"/>
      <c r="CP70" s="591"/>
      <c r="CQ70" s="591"/>
      <c r="CR70" s="591"/>
      <c r="CS70" s="591"/>
      <c r="CT70" s="591"/>
      <c r="CU70" s="591"/>
      <c r="CV70" s="591"/>
      <c r="CW70" s="591"/>
      <c r="CX70" s="591"/>
      <c r="CY70" s="591"/>
      <c r="CZ70" s="591"/>
      <c r="DA70" s="591"/>
      <c r="DB70" s="591"/>
      <c r="DC70" s="591"/>
      <c r="DD70" s="591"/>
      <c r="DE70" s="591"/>
      <c r="DF70" s="591"/>
      <c r="DG70" s="591"/>
      <c r="DH70" s="591"/>
      <c r="DI70" s="591"/>
      <c r="DJ70" s="591"/>
      <c r="DK70" s="591"/>
      <c r="DL70" s="591"/>
      <c r="DM70" s="591"/>
      <c r="DN70" s="591"/>
      <c r="DO70" s="591"/>
      <c r="DP70" s="591"/>
      <c r="DQ70" s="591"/>
      <c r="DR70" s="591"/>
      <c r="DS70" s="591"/>
      <c r="DT70" s="591"/>
      <c r="DU70" s="591"/>
      <c r="DV70" s="591"/>
      <c r="DW70" s="591"/>
      <c r="DX70" s="591"/>
      <c r="DY70" s="591"/>
      <c r="DZ70" s="591"/>
      <c r="EA70" s="591"/>
      <c r="EB70" s="591"/>
      <c r="EC70" s="591"/>
      <c r="ED70" s="591"/>
      <c r="EE70" s="591"/>
      <c r="EF70" s="591"/>
      <c r="EG70" s="591"/>
      <c r="EH70" s="591"/>
      <c r="EI70" s="591"/>
      <c r="EJ70" s="591"/>
      <c r="EK70" s="591"/>
      <c r="EL70" s="591"/>
      <c r="EM70" s="591"/>
      <c r="EN70" s="591"/>
      <c r="EO70" s="591"/>
      <c r="EP70" s="591"/>
      <c r="EQ70" s="591"/>
      <c r="ER70" s="591"/>
      <c r="ES70" s="591"/>
      <c r="ET70" s="591"/>
      <c r="EU70" s="591"/>
      <c r="EV70" s="591"/>
      <c r="EW70" s="591"/>
      <c r="EX70" s="591"/>
      <c r="EY70" s="591"/>
      <c r="EZ70" s="591"/>
      <c r="FA70" s="591"/>
      <c r="FB70" s="591"/>
      <c r="FC70" s="591"/>
      <c r="FD70" s="591"/>
      <c r="FE70" s="591"/>
      <c r="FF70" s="591"/>
      <c r="FG70" s="591"/>
      <c r="FH70" s="591"/>
      <c r="FI70" s="591"/>
      <c r="FJ70" s="591"/>
      <c r="FK70" s="591"/>
      <c r="FL70" s="591"/>
      <c r="FM70" s="591"/>
      <c r="FN70" s="591"/>
      <c r="FO70" s="591"/>
      <c r="FP70" s="591"/>
      <c r="FQ70" s="591"/>
      <c r="FR70" s="591"/>
      <c r="FS70" s="591"/>
      <c r="FT70" s="591"/>
      <c r="FU70" s="591"/>
      <c r="FV70" s="591"/>
      <c r="FW70" s="591"/>
      <c r="FX70" s="591"/>
      <c r="FY70" s="591"/>
      <c r="FZ70" s="591"/>
      <c r="GA70" s="591"/>
      <c r="GB70" s="591"/>
      <c r="GC70" s="591"/>
      <c r="GD70" s="591"/>
      <c r="GE70" s="591"/>
      <c r="GF70" s="591"/>
      <c r="GG70" s="591"/>
      <c r="GH70" s="591"/>
      <c r="GI70" s="591"/>
      <c r="GJ70" s="591"/>
      <c r="GK70" s="591"/>
      <c r="GL70" s="591"/>
      <c r="GM70" s="591"/>
      <c r="GN70" s="591"/>
      <c r="GO70" s="591"/>
      <c r="GP70" s="591"/>
      <c r="GQ70" s="591"/>
      <c r="GR70" s="591"/>
      <c r="GS70" s="591"/>
      <c r="GT70" s="591"/>
      <c r="GU70" s="591"/>
      <c r="GV70" s="591"/>
      <c r="GW70" s="591"/>
      <c r="GX70" s="591"/>
      <c r="GY70" s="591"/>
      <c r="GZ70" s="591"/>
      <c r="HA70" s="591"/>
      <c r="HB70" s="591"/>
      <c r="HC70" s="591"/>
      <c r="HD70" s="591"/>
      <c r="HE70" s="591"/>
      <c r="HF70" s="591"/>
      <c r="HG70" s="591"/>
      <c r="HH70" s="591"/>
      <c r="HI70" s="591"/>
      <c r="HJ70" s="591"/>
      <c r="HK70" s="591"/>
      <c r="HL70" s="591"/>
      <c r="HM70" s="591"/>
      <c r="HN70" s="591"/>
      <c r="HO70" s="591"/>
      <c r="HP70" s="591"/>
      <c r="HQ70" s="591"/>
      <c r="HR70" s="591"/>
      <c r="HS70" s="591"/>
      <c r="HT70" s="591"/>
      <c r="HU70" s="591"/>
      <c r="HV70" s="591"/>
      <c r="HW70" s="591"/>
      <c r="HX70" s="591"/>
      <c r="HY70" s="591"/>
      <c r="HZ70" s="591"/>
      <c r="IA70" s="591"/>
      <c r="IB70" s="591"/>
      <c r="IC70" s="591"/>
      <c r="ID70" s="591"/>
      <c r="IE70" s="591"/>
      <c r="IF70" s="591"/>
      <c r="IG70" s="591"/>
      <c r="IH70" s="591"/>
      <c r="II70" s="591"/>
      <c r="IJ70" s="591"/>
      <c r="IK70" s="591"/>
      <c r="IL70" s="591"/>
      <c r="IM70" s="591"/>
      <c r="IN70" s="591"/>
      <c r="IO70" s="591"/>
      <c r="IP70" s="591"/>
      <c r="IQ70" s="591"/>
      <c r="IR70" s="591"/>
      <c r="IS70" s="591"/>
      <c r="IT70" s="591"/>
      <c r="IU70" s="591"/>
      <c r="IV70" s="591"/>
    </row>
    <row r="71" spans="1:256" ht="26.25">
      <c r="A71" s="577" t="s">
        <v>357</v>
      </c>
      <c r="B71" s="578" t="s">
        <v>1432</v>
      </c>
      <c r="C71" s="583"/>
      <c r="D71" s="588">
        <f>SUM(D72:D85)</f>
        <v>1249178.5</v>
      </c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91"/>
      <c r="AS71" s="591"/>
      <c r="AT71" s="591"/>
      <c r="AU71" s="591"/>
      <c r="AV71" s="591"/>
      <c r="AW71" s="591"/>
      <c r="AX71" s="591"/>
      <c r="AY71" s="591"/>
      <c r="AZ71" s="591"/>
      <c r="BA71" s="591"/>
      <c r="BB71" s="591"/>
      <c r="BC71" s="591"/>
      <c r="BD71" s="591"/>
      <c r="BE71" s="591"/>
      <c r="BF71" s="591"/>
      <c r="BG71" s="591"/>
      <c r="BH71" s="591"/>
      <c r="BI71" s="591"/>
      <c r="BJ71" s="591"/>
      <c r="BK71" s="591"/>
      <c r="BL71" s="591"/>
      <c r="BM71" s="591"/>
      <c r="BN71" s="591"/>
      <c r="BO71" s="591"/>
      <c r="BP71" s="591"/>
      <c r="BQ71" s="591"/>
      <c r="BR71" s="591"/>
      <c r="BS71" s="591"/>
      <c r="BT71" s="591"/>
      <c r="BU71" s="591"/>
      <c r="BV71" s="591"/>
      <c r="BW71" s="591"/>
      <c r="BX71" s="591"/>
      <c r="BY71" s="591"/>
      <c r="BZ71" s="591"/>
      <c r="CA71" s="591"/>
      <c r="CB71" s="591"/>
      <c r="CC71" s="591"/>
      <c r="CD71" s="591"/>
      <c r="CE71" s="591"/>
      <c r="CF71" s="591"/>
      <c r="CG71" s="591"/>
      <c r="CH71" s="591"/>
      <c r="CI71" s="591"/>
      <c r="CJ71" s="591"/>
      <c r="CK71" s="591"/>
      <c r="CL71" s="591"/>
      <c r="CM71" s="591"/>
      <c r="CN71" s="591"/>
      <c r="CO71" s="591"/>
      <c r="CP71" s="591"/>
      <c r="CQ71" s="591"/>
      <c r="CR71" s="591"/>
      <c r="CS71" s="591"/>
      <c r="CT71" s="591"/>
      <c r="CU71" s="591"/>
      <c r="CV71" s="591"/>
      <c r="CW71" s="591"/>
      <c r="CX71" s="591"/>
      <c r="CY71" s="591"/>
      <c r="CZ71" s="591"/>
      <c r="DA71" s="591"/>
      <c r="DB71" s="591"/>
      <c r="DC71" s="591"/>
      <c r="DD71" s="591"/>
      <c r="DE71" s="591"/>
      <c r="DF71" s="591"/>
      <c r="DG71" s="591"/>
      <c r="DH71" s="591"/>
      <c r="DI71" s="591"/>
      <c r="DJ71" s="591"/>
      <c r="DK71" s="591"/>
      <c r="DL71" s="591"/>
      <c r="DM71" s="591"/>
      <c r="DN71" s="591"/>
      <c r="DO71" s="591"/>
      <c r="DP71" s="591"/>
      <c r="DQ71" s="591"/>
      <c r="DR71" s="591"/>
      <c r="DS71" s="591"/>
      <c r="DT71" s="591"/>
      <c r="DU71" s="591"/>
      <c r="DV71" s="591"/>
      <c r="DW71" s="591"/>
      <c r="DX71" s="591"/>
      <c r="DY71" s="591"/>
      <c r="DZ71" s="591"/>
      <c r="EA71" s="591"/>
      <c r="EB71" s="591"/>
      <c r="EC71" s="591"/>
      <c r="ED71" s="591"/>
      <c r="EE71" s="591"/>
      <c r="EF71" s="591"/>
      <c r="EG71" s="591"/>
      <c r="EH71" s="591"/>
      <c r="EI71" s="591"/>
      <c r="EJ71" s="591"/>
      <c r="EK71" s="591"/>
      <c r="EL71" s="591"/>
      <c r="EM71" s="591"/>
      <c r="EN71" s="591"/>
      <c r="EO71" s="591"/>
      <c r="EP71" s="591"/>
      <c r="EQ71" s="591"/>
      <c r="ER71" s="591"/>
      <c r="ES71" s="591"/>
      <c r="ET71" s="591"/>
      <c r="EU71" s="591"/>
      <c r="EV71" s="591"/>
      <c r="EW71" s="591"/>
      <c r="EX71" s="591"/>
      <c r="EY71" s="591"/>
      <c r="EZ71" s="591"/>
      <c r="FA71" s="591"/>
      <c r="FB71" s="591"/>
      <c r="FC71" s="591"/>
      <c r="FD71" s="591"/>
      <c r="FE71" s="591"/>
      <c r="FF71" s="591"/>
      <c r="FG71" s="591"/>
      <c r="FH71" s="591"/>
      <c r="FI71" s="591"/>
      <c r="FJ71" s="591"/>
      <c r="FK71" s="591"/>
      <c r="FL71" s="591"/>
      <c r="FM71" s="591"/>
      <c r="FN71" s="591"/>
      <c r="FO71" s="591"/>
      <c r="FP71" s="591"/>
      <c r="FQ71" s="591"/>
      <c r="FR71" s="591"/>
      <c r="FS71" s="591"/>
      <c r="FT71" s="591"/>
      <c r="FU71" s="591"/>
      <c r="FV71" s="591"/>
      <c r="FW71" s="591"/>
      <c r="FX71" s="591"/>
      <c r="FY71" s="591"/>
      <c r="FZ71" s="591"/>
      <c r="GA71" s="591"/>
      <c r="GB71" s="591"/>
      <c r="GC71" s="591"/>
      <c r="GD71" s="591"/>
      <c r="GE71" s="591"/>
      <c r="GF71" s="591"/>
      <c r="GG71" s="591"/>
      <c r="GH71" s="591"/>
      <c r="GI71" s="591"/>
      <c r="GJ71" s="591"/>
      <c r="GK71" s="591"/>
      <c r="GL71" s="591"/>
      <c r="GM71" s="591"/>
      <c r="GN71" s="591"/>
      <c r="GO71" s="591"/>
      <c r="GP71" s="591"/>
      <c r="GQ71" s="591"/>
      <c r="GR71" s="591"/>
      <c r="GS71" s="591"/>
      <c r="GT71" s="591"/>
      <c r="GU71" s="591"/>
      <c r="GV71" s="591"/>
      <c r="GW71" s="591"/>
      <c r="GX71" s="591"/>
      <c r="GY71" s="591"/>
      <c r="GZ71" s="591"/>
      <c r="HA71" s="591"/>
      <c r="HB71" s="591"/>
      <c r="HC71" s="591"/>
      <c r="HD71" s="591"/>
      <c r="HE71" s="591"/>
      <c r="HF71" s="591"/>
      <c r="HG71" s="591"/>
      <c r="HH71" s="591"/>
      <c r="HI71" s="591"/>
      <c r="HJ71" s="591"/>
      <c r="HK71" s="591"/>
      <c r="HL71" s="591"/>
      <c r="HM71" s="591"/>
      <c r="HN71" s="591"/>
      <c r="HO71" s="591"/>
      <c r="HP71" s="591"/>
      <c r="HQ71" s="591"/>
      <c r="HR71" s="591"/>
      <c r="HS71" s="591"/>
      <c r="HT71" s="591"/>
      <c r="HU71" s="591"/>
      <c r="HV71" s="591"/>
      <c r="HW71" s="591"/>
      <c r="HX71" s="591"/>
      <c r="HY71" s="591"/>
      <c r="HZ71" s="591"/>
      <c r="IA71" s="591"/>
      <c r="IB71" s="591"/>
      <c r="IC71" s="591"/>
      <c r="ID71" s="591"/>
      <c r="IE71" s="591"/>
      <c r="IF71" s="591"/>
      <c r="IG71" s="591"/>
      <c r="IH71" s="591"/>
      <c r="II71" s="591"/>
      <c r="IJ71" s="591"/>
      <c r="IK71" s="591"/>
      <c r="IL71" s="591"/>
      <c r="IM71" s="591"/>
      <c r="IN71" s="591"/>
      <c r="IO71" s="591"/>
      <c r="IP71" s="591"/>
      <c r="IQ71" s="591"/>
      <c r="IR71" s="591"/>
      <c r="IS71" s="591"/>
      <c r="IT71" s="591"/>
      <c r="IU71" s="591"/>
      <c r="IV71" s="591"/>
    </row>
    <row r="72" spans="1:256" ht="26.25">
      <c r="A72" s="27" t="s">
        <v>24</v>
      </c>
      <c r="B72" s="535"/>
      <c r="C72" s="535" t="s">
        <v>440</v>
      </c>
      <c r="D72" s="592">
        <v>1675</v>
      </c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91"/>
      <c r="AS72" s="591"/>
      <c r="AT72" s="591"/>
      <c r="AU72" s="591"/>
      <c r="AV72" s="591"/>
      <c r="AW72" s="591"/>
      <c r="AX72" s="591"/>
      <c r="AY72" s="591"/>
      <c r="AZ72" s="591"/>
      <c r="BA72" s="591"/>
      <c r="BB72" s="591"/>
      <c r="BC72" s="591"/>
      <c r="BD72" s="591"/>
      <c r="BE72" s="591"/>
      <c r="BF72" s="591"/>
      <c r="BG72" s="591"/>
      <c r="BH72" s="591"/>
      <c r="BI72" s="591"/>
      <c r="BJ72" s="591"/>
      <c r="BK72" s="591"/>
      <c r="BL72" s="591"/>
      <c r="BM72" s="591"/>
      <c r="BN72" s="591"/>
      <c r="BO72" s="591"/>
      <c r="BP72" s="591"/>
      <c r="BQ72" s="591"/>
      <c r="BR72" s="591"/>
      <c r="BS72" s="591"/>
      <c r="BT72" s="591"/>
      <c r="BU72" s="591"/>
      <c r="BV72" s="591"/>
      <c r="BW72" s="591"/>
      <c r="BX72" s="591"/>
      <c r="BY72" s="591"/>
      <c r="BZ72" s="591"/>
      <c r="CA72" s="591"/>
      <c r="CB72" s="591"/>
      <c r="CC72" s="591"/>
      <c r="CD72" s="591"/>
      <c r="CE72" s="591"/>
      <c r="CF72" s="591"/>
      <c r="CG72" s="591"/>
      <c r="CH72" s="591"/>
      <c r="CI72" s="591"/>
      <c r="CJ72" s="591"/>
      <c r="CK72" s="591"/>
      <c r="CL72" s="591"/>
      <c r="CM72" s="591"/>
      <c r="CN72" s="591"/>
      <c r="CO72" s="591"/>
      <c r="CP72" s="591"/>
      <c r="CQ72" s="591"/>
      <c r="CR72" s="591"/>
      <c r="CS72" s="591"/>
      <c r="CT72" s="591"/>
      <c r="CU72" s="591"/>
      <c r="CV72" s="591"/>
      <c r="CW72" s="591"/>
      <c r="CX72" s="591"/>
      <c r="CY72" s="591"/>
      <c r="CZ72" s="591"/>
      <c r="DA72" s="591"/>
      <c r="DB72" s="591"/>
      <c r="DC72" s="591"/>
      <c r="DD72" s="591"/>
      <c r="DE72" s="591"/>
      <c r="DF72" s="591"/>
      <c r="DG72" s="591"/>
      <c r="DH72" s="591"/>
      <c r="DI72" s="591"/>
      <c r="DJ72" s="591"/>
      <c r="DK72" s="591"/>
      <c r="DL72" s="591"/>
      <c r="DM72" s="591"/>
      <c r="DN72" s="591"/>
      <c r="DO72" s="591"/>
      <c r="DP72" s="591"/>
      <c r="DQ72" s="591"/>
      <c r="DR72" s="591"/>
      <c r="DS72" s="591"/>
      <c r="DT72" s="591"/>
      <c r="DU72" s="591"/>
      <c r="DV72" s="591"/>
      <c r="DW72" s="591"/>
      <c r="DX72" s="591"/>
      <c r="DY72" s="591"/>
      <c r="DZ72" s="591"/>
      <c r="EA72" s="591"/>
      <c r="EB72" s="591"/>
      <c r="EC72" s="591"/>
      <c r="ED72" s="591"/>
      <c r="EE72" s="591"/>
      <c r="EF72" s="591"/>
      <c r="EG72" s="591"/>
      <c r="EH72" s="591"/>
      <c r="EI72" s="591"/>
      <c r="EJ72" s="591"/>
      <c r="EK72" s="591"/>
      <c r="EL72" s="591"/>
      <c r="EM72" s="591"/>
      <c r="EN72" s="591"/>
      <c r="EO72" s="591"/>
      <c r="EP72" s="591"/>
      <c r="EQ72" s="591"/>
      <c r="ER72" s="591"/>
      <c r="ES72" s="591"/>
      <c r="ET72" s="591"/>
      <c r="EU72" s="591"/>
      <c r="EV72" s="591"/>
      <c r="EW72" s="591"/>
      <c r="EX72" s="591"/>
      <c r="EY72" s="591"/>
      <c r="EZ72" s="591"/>
      <c r="FA72" s="591"/>
      <c r="FB72" s="591"/>
      <c r="FC72" s="591"/>
      <c r="FD72" s="591"/>
      <c r="FE72" s="591"/>
      <c r="FF72" s="591"/>
      <c r="FG72" s="591"/>
      <c r="FH72" s="591"/>
      <c r="FI72" s="591"/>
      <c r="FJ72" s="591"/>
      <c r="FK72" s="591"/>
      <c r="FL72" s="591"/>
      <c r="FM72" s="591"/>
      <c r="FN72" s="591"/>
      <c r="FO72" s="591"/>
      <c r="FP72" s="591"/>
      <c r="FQ72" s="591"/>
      <c r="FR72" s="591"/>
      <c r="FS72" s="591"/>
      <c r="FT72" s="591"/>
      <c r="FU72" s="591"/>
      <c r="FV72" s="591"/>
      <c r="FW72" s="591"/>
      <c r="FX72" s="591"/>
      <c r="FY72" s="591"/>
      <c r="FZ72" s="591"/>
      <c r="GA72" s="591"/>
      <c r="GB72" s="591"/>
      <c r="GC72" s="591"/>
      <c r="GD72" s="591"/>
      <c r="GE72" s="591"/>
      <c r="GF72" s="591"/>
      <c r="GG72" s="591"/>
      <c r="GH72" s="591"/>
      <c r="GI72" s="591"/>
      <c r="GJ72" s="591"/>
      <c r="GK72" s="591"/>
      <c r="GL72" s="591"/>
      <c r="GM72" s="591"/>
      <c r="GN72" s="591"/>
      <c r="GO72" s="591"/>
      <c r="GP72" s="591"/>
      <c r="GQ72" s="591"/>
      <c r="GR72" s="591"/>
      <c r="GS72" s="591"/>
      <c r="GT72" s="591"/>
      <c r="GU72" s="591"/>
      <c r="GV72" s="591"/>
      <c r="GW72" s="591"/>
      <c r="GX72" s="591"/>
      <c r="GY72" s="591"/>
      <c r="GZ72" s="591"/>
      <c r="HA72" s="591"/>
      <c r="HB72" s="591"/>
      <c r="HC72" s="591"/>
      <c r="HD72" s="591"/>
      <c r="HE72" s="591"/>
      <c r="HF72" s="591"/>
      <c r="HG72" s="591"/>
      <c r="HH72" s="591"/>
      <c r="HI72" s="591"/>
      <c r="HJ72" s="591"/>
      <c r="HK72" s="591"/>
      <c r="HL72" s="591"/>
      <c r="HM72" s="591"/>
      <c r="HN72" s="591"/>
      <c r="HO72" s="591"/>
      <c r="HP72" s="591"/>
      <c r="HQ72" s="591"/>
      <c r="HR72" s="591"/>
      <c r="HS72" s="591"/>
      <c r="HT72" s="591"/>
      <c r="HU72" s="591"/>
      <c r="HV72" s="591"/>
      <c r="HW72" s="591"/>
      <c r="HX72" s="591"/>
      <c r="HY72" s="591"/>
      <c r="HZ72" s="591"/>
      <c r="IA72" s="591"/>
      <c r="IB72" s="591"/>
      <c r="IC72" s="591"/>
      <c r="ID72" s="591"/>
      <c r="IE72" s="591"/>
      <c r="IF72" s="591"/>
      <c r="IG72" s="591"/>
      <c r="IH72" s="591"/>
      <c r="II72" s="591"/>
      <c r="IJ72" s="591"/>
      <c r="IK72" s="591"/>
      <c r="IL72" s="591"/>
      <c r="IM72" s="591"/>
      <c r="IN72" s="591"/>
      <c r="IO72" s="591"/>
      <c r="IP72" s="591"/>
      <c r="IQ72" s="591"/>
      <c r="IR72" s="591"/>
      <c r="IS72" s="591"/>
      <c r="IT72" s="591"/>
      <c r="IU72" s="591"/>
      <c r="IV72" s="591"/>
    </row>
    <row r="73" spans="1:256" ht="39">
      <c r="A73" s="27" t="s">
        <v>114</v>
      </c>
      <c r="B73" s="535"/>
      <c r="C73" s="595" t="s">
        <v>1261</v>
      </c>
      <c r="D73" s="592">
        <v>4478.9</v>
      </c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91"/>
      <c r="AS73" s="591"/>
      <c r="AT73" s="591"/>
      <c r="AU73" s="591"/>
      <c r="AV73" s="591"/>
      <c r="AW73" s="591"/>
      <c r="AX73" s="591"/>
      <c r="AY73" s="591"/>
      <c r="AZ73" s="591"/>
      <c r="BA73" s="591"/>
      <c r="BB73" s="591"/>
      <c r="BC73" s="591"/>
      <c r="BD73" s="591"/>
      <c r="BE73" s="591"/>
      <c r="BF73" s="591"/>
      <c r="BG73" s="591"/>
      <c r="BH73" s="591"/>
      <c r="BI73" s="591"/>
      <c r="BJ73" s="591"/>
      <c r="BK73" s="591"/>
      <c r="BL73" s="591"/>
      <c r="BM73" s="591"/>
      <c r="BN73" s="591"/>
      <c r="BO73" s="591"/>
      <c r="BP73" s="591"/>
      <c r="BQ73" s="591"/>
      <c r="BR73" s="591"/>
      <c r="BS73" s="591"/>
      <c r="BT73" s="591"/>
      <c r="BU73" s="591"/>
      <c r="BV73" s="591"/>
      <c r="BW73" s="591"/>
      <c r="BX73" s="591"/>
      <c r="BY73" s="591"/>
      <c r="BZ73" s="591"/>
      <c r="CA73" s="591"/>
      <c r="CB73" s="591"/>
      <c r="CC73" s="591"/>
      <c r="CD73" s="591"/>
      <c r="CE73" s="591"/>
      <c r="CF73" s="591"/>
      <c r="CG73" s="591"/>
      <c r="CH73" s="591"/>
      <c r="CI73" s="591"/>
      <c r="CJ73" s="591"/>
      <c r="CK73" s="591"/>
      <c r="CL73" s="591"/>
      <c r="CM73" s="591"/>
      <c r="CN73" s="591"/>
      <c r="CO73" s="591"/>
      <c r="CP73" s="591"/>
      <c r="CQ73" s="591"/>
      <c r="CR73" s="591"/>
      <c r="CS73" s="591"/>
      <c r="CT73" s="591"/>
      <c r="CU73" s="591"/>
      <c r="CV73" s="591"/>
      <c r="CW73" s="591"/>
      <c r="CX73" s="591"/>
      <c r="CY73" s="591"/>
      <c r="CZ73" s="591"/>
      <c r="DA73" s="591"/>
      <c r="DB73" s="591"/>
      <c r="DC73" s="591"/>
      <c r="DD73" s="591"/>
      <c r="DE73" s="591"/>
      <c r="DF73" s="591"/>
      <c r="DG73" s="591"/>
      <c r="DH73" s="591"/>
      <c r="DI73" s="591"/>
      <c r="DJ73" s="591"/>
      <c r="DK73" s="591"/>
      <c r="DL73" s="591"/>
      <c r="DM73" s="591"/>
      <c r="DN73" s="591"/>
      <c r="DO73" s="591"/>
      <c r="DP73" s="591"/>
      <c r="DQ73" s="591"/>
      <c r="DR73" s="591"/>
      <c r="DS73" s="591"/>
      <c r="DT73" s="591"/>
      <c r="DU73" s="591"/>
      <c r="DV73" s="591"/>
      <c r="DW73" s="591"/>
      <c r="DX73" s="591"/>
      <c r="DY73" s="591"/>
      <c r="DZ73" s="591"/>
      <c r="EA73" s="591"/>
      <c r="EB73" s="591"/>
      <c r="EC73" s="591"/>
      <c r="ED73" s="591"/>
      <c r="EE73" s="591"/>
      <c r="EF73" s="591"/>
      <c r="EG73" s="591"/>
      <c r="EH73" s="591"/>
      <c r="EI73" s="591"/>
      <c r="EJ73" s="591"/>
      <c r="EK73" s="591"/>
      <c r="EL73" s="591"/>
      <c r="EM73" s="591"/>
      <c r="EN73" s="591"/>
      <c r="EO73" s="591"/>
      <c r="EP73" s="591"/>
      <c r="EQ73" s="591"/>
      <c r="ER73" s="591"/>
      <c r="ES73" s="591"/>
      <c r="ET73" s="591"/>
      <c r="EU73" s="591"/>
      <c r="EV73" s="591"/>
      <c r="EW73" s="591"/>
      <c r="EX73" s="591"/>
      <c r="EY73" s="591"/>
      <c r="EZ73" s="591"/>
      <c r="FA73" s="591"/>
      <c r="FB73" s="591"/>
      <c r="FC73" s="591"/>
      <c r="FD73" s="591"/>
      <c r="FE73" s="591"/>
      <c r="FF73" s="591"/>
      <c r="FG73" s="591"/>
      <c r="FH73" s="591"/>
      <c r="FI73" s="591"/>
      <c r="FJ73" s="591"/>
      <c r="FK73" s="591"/>
      <c r="FL73" s="591"/>
      <c r="FM73" s="591"/>
      <c r="FN73" s="591"/>
      <c r="FO73" s="591"/>
      <c r="FP73" s="591"/>
      <c r="FQ73" s="591"/>
      <c r="FR73" s="591"/>
      <c r="FS73" s="591"/>
      <c r="FT73" s="591"/>
      <c r="FU73" s="591"/>
      <c r="FV73" s="591"/>
      <c r="FW73" s="591"/>
      <c r="FX73" s="591"/>
      <c r="FY73" s="591"/>
      <c r="FZ73" s="591"/>
      <c r="GA73" s="591"/>
      <c r="GB73" s="591"/>
      <c r="GC73" s="591"/>
      <c r="GD73" s="591"/>
      <c r="GE73" s="591"/>
      <c r="GF73" s="591"/>
      <c r="GG73" s="591"/>
      <c r="GH73" s="591"/>
      <c r="GI73" s="591"/>
      <c r="GJ73" s="591"/>
      <c r="GK73" s="591"/>
      <c r="GL73" s="591"/>
      <c r="GM73" s="591"/>
      <c r="GN73" s="591"/>
      <c r="GO73" s="591"/>
      <c r="GP73" s="591"/>
      <c r="GQ73" s="591"/>
      <c r="GR73" s="591"/>
      <c r="GS73" s="591"/>
      <c r="GT73" s="591"/>
      <c r="GU73" s="591"/>
      <c r="GV73" s="591"/>
      <c r="GW73" s="591"/>
      <c r="GX73" s="591"/>
      <c r="GY73" s="591"/>
      <c r="GZ73" s="591"/>
      <c r="HA73" s="591"/>
      <c r="HB73" s="591"/>
      <c r="HC73" s="591"/>
      <c r="HD73" s="591"/>
      <c r="HE73" s="591"/>
      <c r="HF73" s="591"/>
      <c r="HG73" s="591"/>
      <c r="HH73" s="591"/>
      <c r="HI73" s="591"/>
      <c r="HJ73" s="591"/>
      <c r="HK73" s="591"/>
      <c r="HL73" s="591"/>
      <c r="HM73" s="591"/>
      <c r="HN73" s="591"/>
      <c r="HO73" s="591"/>
      <c r="HP73" s="591"/>
      <c r="HQ73" s="591"/>
      <c r="HR73" s="591"/>
      <c r="HS73" s="591"/>
      <c r="HT73" s="591"/>
      <c r="HU73" s="591"/>
      <c r="HV73" s="591"/>
      <c r="HW73" s="591"/>
      <c r="HX73" s="591"/>
      <c r="HY73" s="591"/>
      <c r="HZ73" s="591"/>
      <c r="IA73" s="591"/>
      <c r="IB73" s="591"/>
      <c r="IC73" s="591"/>
      <c r="ID73" s="591"/>
      <c r="IE73" s="591"/>
      <c r="IF73" s="591"/>
      <c r="IG73" s="591"/>
      <c r="IH73" s="591"/>
      <c r="II73" s="591"/>
      <c r="IJ73" s="591"/>
      <c r="IK73" s="591"/>
      <c r="IL73" s="591"/>
      <c r="IM73" s="591"/>
      <c r="IN73" s="591"/>
      <c r="IO73" s="591"/>
      <c r="IP73" s="591"/>
      <c r="IQ73" s="591"/>
      <c r="IR73" s="591"/>
      <c r="IS73" s="591"/>
      <c r="IT73" s="591"/>
      <c r="IU73" s="591"/>
      <c r="IV73" s="591"/>
    </row>
    <row r="74" spans="1:256" ht="52.5">
      <c r="A74" s="27" t="s">
        <v>487</v>
      </c>
      <c r="B74" s="535"/>
      <c r="C74" s="596" t="s">
        <v>697</v>
      </c>
      <c r="D74" s="592">
        <v>769451.6</v>
      </c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91"/>
      <c r="AS74" s="591"/>
      <c r="AT74" s="591"/>
      <c r="AU74" s="591"/>
      <c r="AV74" s="591"/>
      <c r="AW74" s="591"/>
      <c r="AX74" s="591"/>
      <c r="AY74" s="591"/>
      <c r="AZ74" s="591"/>
      <c r="BA74" s="591"/>
      <c r="BB74" s="591"/>
      <c r="BC74" s="591"/>
      <c r="BD74" s="591"/>
      <c r="BE74" s="591"/>
      <c r="BF74" s="591"/>
      <c r="BG74" s="591"/>
      <c r="BH74" s="591"/>
      <c r="BI74" s="591"/>
      <c r="BJ74" s="591"/>
      <c r="BK74" s="591"/>
      <c r="BL74" s="591"/>
      <c r="BM74" s="591"/>
      <c r="BN74" s="591"/>
      <c r="BO74" s="591"/>
      <c r="BP74" s="591"/>
      <c r="BQ74" s="591"/>
      <c r="BR74" s="591"/>
      <c r="BS74" s="591"/>
      <c r="BT74" s="591"/>
      <c r="BU74" s="591"/>
      <c r="BV74" s="591"/>
      <c r="BW74" s="591"/>
      <c r="BX74" s="591"/>
      <c r="BY74" s="591"/>
      <c r="BZ74" s="591"/>
      <c r="CA74" s="591"/>
      <c r="CB74" s="591"/>
      <c r="CC74" s="591"/>
      <c r="CD74" s="591"/>
      <c r="CE74" s="591"/>
      <c r="CF74" s="591"/>
      <c r="CG74" s="591"/>
      <c r="CH74" s="591"/>
      <c r="CI74" s="591"/>
      <c r="CJ74" s="591"/>
      <c r="CK74" s="591"/>
      <c r="CL74" s="591"/>
      <c r="CM74" s="591"/>
      <c r="CN74" s="591"/>
      <c r="CO74" s="591"/>
      <c r="CP74" s="591"/>
      <c r="CQ74" s="591"/>
      <c r="CR74" s="591"/>
      <c r="CS74" s="591"/>
      <c r="CT74" s="591"/>
      <c r="CU74" s="591"/>
      <c r="CV74" s="591"/>
      <c r="CW74" s="591"/>
      <c r="CX74" s="591"/>
      <c r="CY74" s="591"/>
      <c r="CZ74" s="591"/>
      <c r="DA74" s="591"/>
      <c r="DB74" s="591"/>
      <c r="DC74" s="591"/>
      <c r="DD74" s="591"/>
      <c r="DE74" s="591"/>
      <c r="DF74" s="591"/>
      <c r="DG74" s="591"/>
      <c r="DH74" s="591"/>
      <c r="DI74" s="591"/>
      <c r="DJ74" s="591"/>
      <c r="DK74" s="591"/>
      <c r="DL74" s="591"/>
      <c r="DM74" s="591"/>
      <c r="DN74" s="591"/>
      <c r="DO74" s="591"/>
      <c r="DP74" s="591"/>
      <c r="DQ74" s="591"/>
      <c r="DR74" s="591"/>
      <c r="DS74" s="591"/>
      <c r="DT74" s="591"/>
      <c r="DU74" s="591"/>
      <c r="DV74" s="591"/>
      <c r="DW74" s="591"/>
      <c r="DX74" s="591"/>
      <c r="DY74" s="591"/>
      <c r="DZ74" s="591"/>
      <c r="EA74" s="591"/>
      <c r="EB74" s="591"/>
      <c r="EC74" s="591"/>
      <c r="ED74" s="591"/>
      <c r="EE74" s="591"/>
      <c r="EF74" s="591"/>
      <c r="EG74" s="591"/>
      <c r="EH74" s="591"/>
      <c r="EI74" s="591"/>
      <c r="EJ74" s="591"/>
      <c r="EK74" s="591"/>
      <c r="EL74" s="591"/>
      <c r="EM74" s="591"/>
      <c r="EN74" s="591"/>
      <c r="EO74" s="591"/>
      <c r="EP74" s="591"/>
      <c r="EQ74" s="591"/>
      <c r="ER74" s="591"/>
      <c r="ES74" s="591"/>
      <c r="ET74" s="591"/>
      <c r="EU74" s="591"/>
      <c r="EV74" s="591"/>
      <c r="EW74" s="591"/>
      <c r="EX74" s="591"/>
      <c r="EY74" s="591"/>
      <c r="EZ74" s="591"/>
      <c r="FA74" s="591"/>
      <c r="FB74" s="591"/>
      <c r="FC74" s="591"/>
      <c r="FD74" s="591"/>
      <c r="FE74" s="591"/>
      <c r="FF74" s="591"/>
      <c r="FG74" s="591"/>
      <c r="FH74" s="591"/>
      <c r="FI74" s="591"/>
      <c r="FJ74" s="591"/>
      <c r="FK74" s="591"/>
      <c r="FL74" s="591"/>
      <c r="FM74" s="591"/>
      <c r="FN74" s="591"/>
      <c r="FO74" s="591"/>
      <c r="FP74" s="591"/>
      <c r="FQ74" s="591"/>
      <c r="FR74" s="591"/>
      <c r="FS74" s="591"/>
      <c r="FT74" s="591"/>
      <c r="FU74" s="591"/>
      <c r="FV74" s="591"/>
      <c r="FW74" s="591"/>
      <c r="FX74" s="591"/>
      <c r="FY74" s="591"/>
      <c r="FZ74" s="591"/>
      <c r="GA74" s="591"/>
      <c r="GB74" s="591"/>
      <c r="GC74" s="591"/>
      <c r="GD74" s="591"/>
      <c r="GE74" s="591"/>
      <c r="GF74" s="591"/>
      <c r="GG74" s="591"/>
      <c r="GH74" s="591"/>
      <c r="GI74" s="591"/>
      <c r="GJ74" s="591"/>
      <c r="GK74" s="591"/>
      <c r="GL74" s="591"/>
      <c r="GM74" s="591"/>
      <c r="GN74" s="591"/>
      <c r="GO74" s="591"/>
      <c r="GP74" s="591"/>
      <c r="GQ74" s="591"/>
      <c r="GR74" s="591"/>
      <c r="GS74" s="591"/>
      <c r="GT74" s="591"/>
      <c r="GU74" s="591"/>
      <c r="GV74" s="591"/>
      <c r="GW74" s="591"/>
      <c r="GX74" s="591"/>
      <c r="GY74" s="591"/>
      <c r="GZ74" s="591"/>
      <c r="HA74" s="591"/>
      <c r="HB74" s="591"/>
      <c r="HC74" s="591"/>
      <c r="HD74" s="591"/>
      <c r="HE74" s="591"/>
      <c r="HF74" s="591"/>
      <c r="HG74" s="591"/>
      <c r="HH74" s="591"/>
      <c r="HI74" s="591"/>
      <c r="HJ74" s="591"/>
      <c r="HK74" s="591"/>
      <c r="HL74" s="591"/>
      <c r="HM74" s="591"/>
      <c r="HN74" s="591"/>
      <c r="HO74" s="591"/>
      <c r="HP74" s="591"/>
      <c r="HQ74" s="591"/>
      <c r="HR74" s="591"/>
      <c r="HS74" s="591"/>
      <c r="HT74" s="591"/>
      <c r="HU74" s="591"/>
      <c r="HV74" s="591"/>
      <c r="HW74" s="591"/>
      <c r="HX74" s="591"/>
      <c r="HY74" s="591"/>
      <c r="HZ74" s="591"/>
      <c r="IA74" s="591"/>
      <c r="IB74" s="591"/>
      <c r="IC74" s="591"/>
      <c r="ID74" s="591"/>
      <c r="IE74" s="591"/>
      <c r="IF74" s="591"/>
      <c r="IG74" s="591"/>
      <c r="IH74" s="591"/>
      <c r="II74" s="591"/>
      <c r="IJ74" s="591"/>
      <c r="IK74" s="591"/>
      <c r="IL74" s="591"/>
      <c r="IM74" s="591"/>
      <c r="IN74" s="591"/>
      <c r="IO74" s="591"/>
      <c r="IP74" s="591"/>
      <c r="IQ74" s="591"/>
      <c r="IR74" s="591"/>
      <c r="IS74" s="591"/>
      <c r="IT74" s="591"/>
      <c r="IU74" s="591"/>
      <c r="IV74" s="591"/>
    </row>
    <row r="75" spans="1:256" ht="52.5">
      <c r="A75" s="27" t="s">
        <v>692</v>
      </c>
      <c r="B75" s="535"/>
      <c r="C75" s="535" t="s">
        <v>145</v>
      </c>
      <c r="D75" s="592">
        <v>55906.3</v>
      </c>
      <c r="E75" s="591"/>
      <c r="F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91"/>
      <c r="AS75" s="591"/>
      <c r="AT75" s="591"/>
      <c r="AU75" s="591"/>
      <c r="AV75" s="591"/>
      <c r="AW75" s="591"/>
      <c r="AX75" s="591"/>
      <c r="AY75" s="591"/>
      <c r="AZ75" s="591"/>
      <c r="BA75" s="591"/>
      <c r="BB75" s="591"/>
      <c r="BC75" s="591"/>
      <c r="BD75" s="591"/>
      <c r="BE75" s="591"/>
      <c r="BF75" s="591"/>
      <c r="BG75" s="591"/>
      <c r="BH75" s="591"/>
      <c r="BI75" s="591"/>
      <c r="BJ75" s="591"/>
      <c r="BK75" s="591"/>
      <c r="BL75" s="591"/>
      <c r="BM75" s="591"/>
      <c r="BN75" s="591"/>
      <c r="BO75" s="591"/>
      <c r="BP75" s="591"/>
      <c r="BQ75" s="591"/>
      <c r="BR75" s="591"/>
      <c r="BS75" s="591"/>
      <c r="BT75" s="591"/>
      <c r="BU75" s="591"/>
      <c r="BV75" s="591"/>
      <c r="BW75" s="591"/>
      <c r="BX75" s="591"/>
      <c r="BY75" s="591"/>
      <c r="BZ75" s="591"/>
      <c r="CA75" s="591"/>
      <c r="CB75" s="591"/>
      <c r="CC75" s="591"/>
      <c r="CD75" s="591"/>
      <c r="CE75" s="591"/>
      <c r="CF75" s="591"/>
      <c r="CG75" s="591"/>
      <c r="CH75" s="591"/>
      <c r="CI75" s="591"/>
      <c r="CJ75" s="591"/>
      <c r="CK75" s="591"/>
      <c r="CL75" s="591"/>
      <c r="CM75" s="591"/>
      <c r="CN75" s="591"/>
      <c r="CO75" s="591"/>
      <c r="CP75" s="591"/>
      <c r="CQ75" s="591"/>
      <c r="CR75" s="591"/>
      <c r="CS75" s="591"/>
      <c r="CT75" s="591"/>
      <c r="CU75" s="591"/>
      <c r="CV75" s="591"/>
      <c r="CW75" s="591"/>
      <c r="CX75" s="591"/>
      <c r="CY75" s="591"/>
      <c r="CZ75" s="591"/>
      <c r="DA75" s="591"/>
      <c r="DB75" s="591"/>
      <c r="DC75" s="591"/>
      <c r="DD75" s="591"/>
      <c r="DE75" s="591"/>
      <c r="DF75" s="591"/>
      <c r="DG75" s="591"/>
      <c r="DH75" s="591"/>
      <c r="DI75" s="591"/>
      <c r="DJ75" s="591"/>
      <c r="DK75" s="591"/>
      <c r="DL75" s="591"/>
      <c r="DM75" s="591"/>
      <c r="DN75" s="591"/>
      <c r="DO75" s="591"/>
      <c r="DP75" s="591"/>
      <c r="DQ75" s="591"/>
      <c r="DR75" s="591"/>
      <c r="DS75" s="591"/>
      <c r="DT75" s="591"/>
      <c r="DU75" s="591"/>
      <c r="DV75" s="591"/>
      <c r="DW75" s="591"/>
      <c r="DX75" s="591"/>
      <c r="DY75" s="591"/>
      <c r="DZ75" s="591"/>
      <c r="EA75" s="591"/>
      <c r="EB75" s="591"/>
      <c r="EC75" s="591"/>
      <c r="ED75" s="591"/>
      <c r="EE75" s="591"/>
      <c r="EF75" s="591"/>
      <c r="EG75" s="591"/>
      <c r="EH75" s="591"/>
      <c r="EI75" s="591"/>
      <c r="EJ75" s="591"/>
      <c r="EK75" s="591"/>
      <c r="EL75" s="591"/>
      <c r="EM75" s="591"/>
      <c r="EN75" s="591"/>
      <c r="EO75" s="591"/>
      <c r="EP75" s="591"/>
      <c r="EQ75" s="591"/>
      <c r="ER75" s="591"/>
      <c r="ES75" s="591"/>
      <c r="ET75" s="591"/>
      <c r="EU75" s="591"/>
      <c r="EV75" s="591"/>
      <c r="EW75" s="591"/>
      <c r="EX75" s="591"/>
      <c r="EY75" s="591"/>
      <c r="EZ75" s="591"/>
      <c r="FA75" s="591"/>
      <c r="FB75" s="591"/>
      <c r="FC75" s="591"/>
      <c r="FD75" s="591"/>
      <c r="FE75" s="591"/>
      <c r="FF75" s="591"/>
      <c r="FG75" s="591"/>
      <c r="FH75" s="591"/>
      <c r="FI75" s="591"/>
      <c r="FJ75" s="591"/>
      <c r="FK75" s="591"/>
      <c r="FL75" s="591"/>
      <c r="FM75" s="591"/>
      <c r="FN75" s="591"/>
      <c r="FO75" s="591"/>
      <c r="FP75" s="591"/>
      <c r="FQ75" s="591"/>
      <c r="FR75" s="591"/>
      <c r="FS75" s="591"/>
      <c r="FT75" s="591"/>
      <c r="FU75" s="591"/>
      <c r="FV75" s="591"/>
      <c r="FW75" s="591"/>
      <c r="FX75" s="591"/>
      <c r="FY75" s="591"/>
      <c r="FZ75" s="591"/>
      <c r="GA75" s="591"/>
      <c r="GB75" s="591"/>
      <c r="GC75" s="591"/>
      <c r="GD75" s="591"/>
      <c r="GE75" s="591"/>
      <c r="GF75" s="591"/>
      <c r="GG75" s="591"/>
      <c r="GH75" s="591"/>
      <c r="GI75" s="591"/>
      <c r="GJ75" s="591"/>
      <c r="GK75" s="591"/>
      <c r="GL75" s="591"/>
      <c r="GM75" s="591"/>
      <c r="GN75" s="591"/>
      <c r="GO75" s="591"/>
      <c r="GP75" s="591"/>
      <c r="GQ75" s="591"/>
      <c r="GR75" s="591"/>
      <c r="GS75" s="591"/>
      <c r="GT75" s="591"/>
      <c r="GU75" s="591"/>
      <c r="GV75" s="591"/>
      <c r="GW75" s="591"/>
      <c r="GX75" s="591"/>
      <c r="GY75" s="591"/>
      <c r="GZ75" s="591"/>
      <c r="HA75" s="591"/>
      <c r="HB75" s="591"/>
      <c r="HC75" s="591"/>
      <c r="HD75" s="591"/>
      <c r="HE75" s="591"/>
      <c r="HF75" s="591"/>
      <c r="HG75" s="591"/>
      <c r="HH75" s="591"/>
      <c r="HI75" s="591"/>
      <c r="HJ75" s="591"/>
      <c r="HK75" s="591"/>
      <c r="HL75" s="591"/>
      <c r="HM75" s="591"/>
      <c r="HN75" s="591"/>
      <c r="HO75" s="591"/>
      <c r="HP75" s="591"/>
      <c r="HQ75" s="591"/>
      <c r="HR75" s="591"/>
      <c r="HS75" s="591"/>
      <c r="HT75" s="591"/>
      <c r="HU75" s="591"/>
      <c r="HV75" s="591"/>
      <c r="HW75" s="591"/>
      <c r="HX75" s="591"/>
      <c r="HY75" s="591"/>
      <c r="HZ75" s="591"/>
      <c r="IA75" s="591"/>
      <c r="IB75" s="591"/>
      <c r="IC75" s="591"/>
      <c r="ID75" s="591"/>
      <c r="IE75" s="591"/>
      <c r="IF75" s="591"/>
      <c r="IG75" s="591"/>
      <c r="IH75" s="591"/>
      <c r="II75" s="591"/>
      <c r="IJ75" s="591"/>
      <c r="IK75" s="591"/>
      <c r="IL75" s="591"/>
      <c r="IM75" s="591"/>
      <c r="IN75" s="591"/>
      <c r="IO75" s="591"/>
      <c r="IP75" s="591"/>
      <c r="IQ75" s="591"/>
      <c r="IR75" s="591"/>
      <c r="IS75" s="591"/>
      <c r="IT75" s="591"/>
      <c r="IU75" s="591"/>
      <c r="IV75" s="591"/>
    </row>
    <row r="76" spans="1:256" ht="26.25">
      <c r="A76" s="27" t="s">
        <v>1075</v>
      </c>
      <c r="B76" s="535"/>
      <c r="C76" s="535" t="s">
        <v>358</v>
      </c>
      <c r="D76" s="592">
        <v>59083.9</v>
      </c>
      <c r="E76" s="591"/>
      <c r="F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91"/>
      <c r="AS76" s="591"/>
      <c r="AT76" s="591"/>
      <c r="AU76" s="591"/>
      <c r="AV76" s="591"/>
      <c r="AW76" s="591"/>
      <c r="AX76" s="591"/>
      <c r="AY76" s="591"/>
      <c r="AZ76" s="591"/>
      <c r="BA76" s="591"/>
      <c r="BB76" s="591"/>
      <c r="BC76" s="591"/>
      <c r="BD76" s="591"/>
      <c r="BE76" s="591"/>
      <c r="BF76" s="591"/>
      <c r="BG76" s="591"/>
      <c r="BH76" s="591"/>
      <c r="BI76" s="591"/>
      <c r="BJ76" s="591"/>
      <c r="BK76" s="591"/>
      <c r="BL76" s="591"/>
      <c r="BM76" s="591"/>
      <c r="BN76" s="591"/>
      <c r="BO76" s="591"/>
      <c r="BP76" s="591"/>
      <c r="BQ76" s="591"/>
      <c r="BR76" s="591"/>
      <c r="BS76" s="591"/>
      <c r="BT76" s="591"/>
      <c r="BU76" s="591"/>
      <c r="BV76" s="591"/>
      <c r="BW76" s="591"/>
      <c r="BX76" s="591"/>
      <c r="BY76" s="591"/>
      <c r="BZ76" s="591"/>
      <c r="CA76" s="591"/>
      <c r="CB76" s="591"/>
      <c r="CC76" s="591"/>
      <c r="CD76" s="591"/>
      <c r="CE76" s="591"/>
      <c r="CF76" s="591"/>
      <c r="CG76" s="591"/>
      <c r="CH76" s="591"/>
      <c r="CI76" s="591"/>
      <c r="CJ76" s="591"/>
      <c r="CK76" s="591"/>
      <c r="CL76" s="591"/>
      <c r="CM76" s="591"/>
      <c r="CN76" s="591"/>
      <c r="CO76" s="591"/>
      <c r="CP76" s="591"/>
      <c r="CQ76" s="591"/>
      <c r="CR76" s="591"/>
      <c r="CS76" s="591"/>
      <c r="CT76" s="591"/>
      <c r="CU76" s="591"/>
      <c r="CV76" s="591"/>
      <c r="CW76" s="591"/>
      <c r="CX76" s="591"/>
      <c r="CY76" s="591"/>
      <c r="CZ76" s="591"/>
      <c r="DA76" s="591"/>
      <c r="DB76" s="591"/>
      <c r="DC76" s="591"/>
      <c r="DD76" s="591"/>
      <c r="DE76" s="591"/>
      <c r="DF76" s="591"/>
      <c r="DG76" s="591"/>
      <c r="DH76" s="591"/>
      <c r="DI76" s="591"/>
      <c r="DJ76" s="591"/>
      <c r="DK76" s="591"/>
      <c r="DL76" s="591"/>
      <c r="DM76" s="591"/>
      <c r="DN76" s="591"/>
      <c r="DO76" s="591"/>
      <c r="DP76" s="591"/>
      <c r="DQ76" s="591"/>
      <c r="DR76" s="591"/>
      <c r="DS76" s="591"/>
      <c r="DT76" s="591"/>
      <c r="DU76" s="591"/>
      <c r="DV76" s="591"/>
      <c r="DW76" s="591"/>
      <c r="DX76" s="591"/>
      <c r="DY76" s="591"/>
      <c r="DZ76" s="591"/>
      <c r="EA76" s="591"/>
      <c r="EB76" s="591"/>
      <c r="EC76" s="591"/>
      <c r="ED76" s="591"/>
      <c r="EE76" s="591"/>
      <c r="EF76" s="591"/>
      <c r="EG76" s="591"/>
      <c r="EH76" s="591"/>
      <c r="EI76" s="591"/>
      <c r="EJ76" s="591"/>
      <c r="EK76" s="591"/>
      <c r="EL76" s="591"/>
      <c r="EM76" s="591"/>
      <c r="EN76" s="591"/>
      <c r="EO76" s="591"/>
      <c r="EP76" s="591"/>
      <c r="EQ76" s="591"/>
      <c r="ER76" s="591"/>
      <c r="ES76" s="591"/>
      <c r="ET76" s="591"/>
      <c r="EU76" s="591"/>
      <c r="EV76" s="591"/>
      <c r="EW76" s="591"/>
      <c r="EX76" s="591"/>
      <c r="EY76" s="591"/>
      <c r="EZ76" s="591"/>
      <c r="FA76" s="591"/>
      <c r="FB76" s="591"/>
      <c r="FC76" s="591"/>
      <c r="FD76" s="591"/>
      <c r="FE76" s="591"/>
      <c r="FF76" s="591"/>
      <c r="FG76" s="591"/>
      <c r="FH76" s="591"/>
      <c r="FI76" s="591"/>
      <c r="FJ76" s="591"/>
      <c r="FK76" s="591"/>
      <c r="FL76" s="591"/>
      <c r="FM76" s="591"/>
      <c r="FN76" s="591"/>
      <c r="FO76" s="591"/>
      <c r="FP76" s="591"/>
      <c r="FQ76" s="591"/>
      <c r="FR76" s="591"/>
      <c r="FS76" s="591"/>
      <c r="FT76" s="591"/>
      <c r="FU76" s="591"/>
      <c r="FV76" s="591"/>
      <c r="FW76" s="591"/>
      <c r="FX76" s="591"/>
      <c r="FY76" s="591"/>
      <c r="FZ76" s="591"/>
      <c r="GA76" s="591"/>
      <c r="GB76" s="591"/>
      <c r="GC76" s="591"/>
      <c r="GD76" s="591"/>
      <c r="GE76" s="591"/>
      <c r="GF76" s="591"/>
      <c r="GG76" s="591"/>
      <c r="GH76" s="591"/>
      <c r="GI76" s="591"/>
      <c r="GJ76" s="591"/>
      <c r="GK76" s="591"/>
      <c r="GL76" s="591"/>
      <c r="GM76" s="591"/>
      <c r="GN76" s="591"/>
      <c r="GO76" s="591"/>
      <c r="GP76" s="591"/>
      <c r="GQ76" s="591"/>
      <c r="GR76" s="591"/>
      <c r="GS76" s="591"/>
      <c r="GT76" s="591"/>
      <c r="GU76" s="591"/>
      <c r="GV76" s="591"/>
      <c r="GW76" s="591"/>
      <c r="GX76" s="591"/>
      <c r="GY76" s="591"/>
      <c r="GZ76" s="591"/>
      <c r="HA76" s="591"/>
      <c r="HB76" s="591"/>
      <c r="HC76" s="591"/>
      <c r="HD76" s="591"/>
      <c r="HE76" s="591"/>
      <c r="HF76" s="591"/>
      <c r="HG76" s="591"/>
      <c r="HH76" s="591"/>
      <c r="HI76" s="591"/>
      <c r="HJ76" s="591"/>
      <c r="HK76" s="591"/>
      <c r="HL76" s="591"/>
      <c r="HM76" s="591"/>
      <c r="HN76" s="591"/>
      <c r="HO76" s="591"/>
      <c r="HP76" s="591"/>
      <c r="HQ76" s="591"/>
      <c r="HR76" s="591"/>
      <c r="HS76" s="591"/>
      <c r="HT76" s="591"/>
      <c r="HU76" s="591"/>
      <c r="HV76" s="591"/>
      <c r="HW76" s="591"/>
      <c r="HX76" s="591"/>
      <c r="HY76" s="591"/>
      <c r="HZ76" s="591"/>
      <c r="IA76" s="591"/>
      <c r="IB76" s="591"/>
      <c r="IC76" s="591"/>
      <c r="ID76" s="591"/>
      <c r="IE76" s="591"/>
      <c r="IF76" s="591"/>
      <c r="IG76" s="591"/>
      <c r="IH76" s="591"/>
      <c r="II76" s="591"/>
      <c r="IJ76" s="591"/>
      <c r="IK76" s="591"/>
      <c r="IL76" s="591"/>
      <c r="IM76" s="591"/>
      <c r="IN76" s="591"/>
      <c r="IO76" s="591"/>
      <c r="IP76" s="591"/>
      <c r="IQ76" s="591"/>
      <c r="IR76" s="591"/>
      <c r="IS76" s="591"/>
      <c r="IT76" s="591"/>
      <c r="IU76" s="591"/>
      <c r="IV76" s="591"/>
    </row>
    <row r="77" spans="1:256" ht="48">
      <c r="A77" s="503" t="s">
        <v>246</v>
      </c>
      <c r="B77" s="535"/>
      <c r="C77" s="535" t="s">
        <v>245</v>
      </c>
      <c r="D77" s="592">
        <v>2.2</v>
      </c>
      <c r="E77" s="591"/>
      <c r="F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91"/>
      <c r="AS77" s="591"/>
      <c r="AT77" s="591"/>
      <c r="AU77" s="591"/>
      <c r="AV77" s="591"/>
      <c r="AW77" s="591"/>
      <c r="AX77" s="591"/>
      <c r="AY77" s="591"/>
      <c r="AZ77" s="591"/>
      <c r="BA77" s="591"/>
      <c r="BB77" s="591"/>
      <c r="BC77" s="591"/>
      <c r="BD77" s="591"/>
      <c r="BE77" s="591"/>
      <c r="BF77" s="591"/>
      <c r="BG77" s="591"/>
      <c r="BH77" s="591"/>
      <c r="BI77" s="591"/>
      <c r="BJ77" s="591"/>
      <c r="BK77" s="591"/>
      <c r="BL77" s="591"/>
      <c r="BM77" s="591"/>
      <c r="BN77" s="591"/>
      <c r="BO77" s="591"/>
      <c r="BP77" s="591"/>
      <c r="BQ77" s="591"/>
      <c r="BR77" s="591"/>
      <c r="BS77" s="591"/>
      <c r="BT77" s="591"/>
      <c r="BU77" s="591"/>
      <c r="BV77" s="591"/>
      <c r="BW77" s="591"/>
      <c r="BX77" s="591"/>
      <c r="BY77" s="591"/>
      <c r="BZ77" s="591"/>
      <c r="CA77" s="591"/>
      <c r="CB77" s="591"/>
      <c r="CC77" s="591"/>
      <c r="CD77" s="591"/>
      <c r="CE77" s="591"/>
      <c r="CF77" s="591"/>
      <c r="CG77" s="591"/>
      <c r="CH77" s="591"/>
      <c r="CI77" s="591"/>
      <c r="CJ77" s="591"/>
      <c r="CK77" s="591"/>
      <c r="CL77" s="591"/>
      <c r="CM77" s="591"/>
      <c r="CN77" s="591"/>
      <c r="CO77" s="591"/>
      <c r="CP77" s="591"/>
      <c r="CQ77" s="591"/>
      <c r="CR77" s="591"/>
      <c r="CS77" s="591"/>
      <c r="CT77" s="591"/>
      <c r="CU77" s="591"/>
      <c r="CV77" s="591"/>
      <c r="CW77" s="591"/>
      <c r="CX77" s="591"/>
      <c r="CY77" s="591"/>
      <c r="CZ77" s="591"/>
      <c r="DA77" s="591"/>
      <c r="DB77" s="591"/>
      <c r="DC77" s="591"/>
      <c r="DD77" s="591"/>
      <c r="DE77" s="591"/>
      <c r="DF77" s="591"/>
      <c r="DG77" s="591"/>
      <c r="DH77" s="591"/>
      <c r="DI77" s="591"/>
      <c r="DJ77" s="591"/>
      <c r="DK77" s="591"/>
      <c r="DL77" s="591"/>
      <c r="DM77" s="591"/>
      <c r="DN77" s="591"/>
      <c r="DO77" s="591"/>
      <c r="DP77" s="591"/>
      <c r="DQ77" s="591"/>
      <c r="DR77" s="591"/>
      <c r="DS77" s="591"/>
      <c r="DT77" s="591"/>
      <c r="DU77" s="591"/>
      <c r="DV77" s="591"/>
      <c r="DW77" s="591"/>
      <c r="DX77" s="591"/>
      <c r="DY77" s="591"/>
      <c r="DZ77" s="591"/>
      <c r="EA77" s="591"/>
      <c r="EB77" s="591"/>
      <c r="EC77" s="591"/>
      <c r="ED77" s="591"/>
      <c r="EE77" s="591"/>
      <c r="EF77" s="591"/>
      <c r="EG77" s="591"/>
      <c r="EH77" s="591"/>
      <c r="EI77" s="591"/>
      <c r="EJ77" s="591"/>
      <c r="EK77" s="591"/>
      <c r="EL77" s="591"/>
      <c r="EM77" s="591"/>
      <c r="EN77" s="591"/>
      <c r="EO77" s="591"/>
      <c r="EP77" s="591"/>
      <c r="EQ77" s="591"/>
      <c r="ER77" s="591"/>
      <c r="ES77" s="591"/>
      <c r="ET77" s="591"/>
      <c r="EU77" s="591"/>
      <c r="EV77" s="591"/>
      <c r="EW77" s="591"/>
      <c r="EX77" s="591"/>
      <c r="EY77" s="591"/>
      <c r="EZ77" s="591"/>
      <c r="FA77" s="591"/>
      <c r="FB77" s="591"/>
      <c r="FC77" s="591"/>
      <c r="FD77" s="591"/>
      <c r="FE77" s="591"/>
      <c r="FF77" s="591"/>
      <c r="FG77" s="591"/>
      <c r="FH77" s="591"/>
      <c r="FI77" s="591"/>
      <c r="FJ77" s="591"/>
      <c r="FK77" s="591"/>
      <c r="FL77" s="591"/>
      <c r="FM77" s="591"/>
      <c r="FN77" s="591"/>
      <c r="FO77" s="591"/>
      <c r="FP77" s="591"/>
      <c r="FQ77" s="591"/>
      <c r="FR77" s="591"/>
      <c r="FS77" s="591"/>
      <c r="FT77" s="591"/>
      <c r="FU77" s="591"/>
      <c r="FV77" s="591"/>
      <c r="FW77" s="591"/>
      <c r="FX77" s="591"/>
      <c r="FY77" s="591"/>
      <c r="FZ77" s="591"/>
      <c r="GA77" s="591"/>
      <c r="GB77" s="591"/>
      <c r="GC77" s="591"/>
      <c r="GD77" s="591"/>
      <c r="GE77" s="591"/>
      <c r="GF77" s="591"/>
      <c r="GG77" s="591"/>
      <c r="GH77" s="591"/>
      <c r="GI77" s="591"/>
      <c r="GJ77" s="591"/>
      <c r="GK77" s="591"/>
      <c r="GL77" s="591"/>
      <c r="GM77" s="591"/>
      <c r="GN77" s="591"/>
      <c r="GO77" s="591"/>
      <c r="GP77" s="591"/>
      <c r="GQ77" s="591"/>
      <c r="GR77" s="591"/>
      <c r="GS77" s="591"/>
      <c r="GT77" s="591"/>
      <c r="GU77" s="591"/>
      <c r="GV77" s="591"/>
      <c r="GW77" s="591"/>
      <c r="GX77" s="591"/>
      <c r="GY77" s="591"/>
      <c r="GZ77" s="591"/>
      <c r="HA77" s="591"/>
      <c r="HB77" s="591"/>
      <c r="HC77" s="591"/>
      <c r="HD77" s="591"/>
      <c r="HE77" s="591"/>
      <c r="HF77" s="591"/>
      <c r="HG77" s="591"/>
      <c r="HH77" s="591"/>
      <c r="HI77" s="591"/>
      <c r="HJ77" s="591"/>
      <c r="HK77" s="591"/>
      <c r="HL77" s="591"/>
      <c r="HM77" s="591"/>
      <c r="HN77" s="591"/>
      <c r="HO77" s="591"/>
      <c r="HP77" s="591"/>
      <c r="HQ77" s="591"/>
      <c r="HR77" s="591"/>
      <c r="HS77" s="591"/>
      <c r="HT77" s="591"/>
      <c r="HU77" s="591"/>
      <c r="HV77" s="591"/>
      <c r="HW77" s="591"/>
      <c r="HX77" s="591"/>
      <c r="HY77" s="591"/>
      <c r="HZ77" s="591"/>
      <c r="IA77" s="591"/>
      <c r="IB77" s="591"/>
      <c r="IC77" s="591"/>
      <c r="ID77" s="591"/>
      <c r="IE77" s="591"/>
      <c r="IF77" s="591"/>
      <c r="IG77" s="591"/>
      <c r="IH77" s="591"/>
      <c r="II77" s="591"/>
      <c r="IJ77" s="591"/>
      <c r="IK77" s="591"/>
      <c r="IL77" s="591"/>
      <c r="IM77" s="591"/>
      <c r="IN77" s="591"/>
      <c r="IO77" s="591"/>
      <c r="IP77" s="591"/>
      <c r="IQ77" s="591"/>
      <c r="IR77" s="591"/>
      <c r="IS77" s="591"/>
      <c r="IT77" s="591"/>
      <c r="IU77" s="591"/>
      <c r="IV77" s="591"/>
    </row>
    <row r="78" spans="1:256" ht="39">
      <c r="A78" s="27" t="s">
        <v>807</v>
      </c>
      <c r="B78" s="535"/>
      <c r="C78" s="535" t="s">
        <v>808</v>
      </c>
      <c r="D78" s="592">
        <v>271.8</v>
      </c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91"/>
      <c r="T78" s="591"/>
      <c r="U78" s="591"/>
      <c r="V78" s="591"/>
      <c r="W78" s="591"/>
      <c r="X78" s="591"/>
      <c r="Y78" s="591"/>
      <c r="Z78" s="591"/>
      <c r="AA78" s="591"/>
      <c r="AB78" s="591"/>
      <c r="AC78" s="591"/>
      <c r="AD78" s="591"/>
      <c r="AE78" s="591"/>
      <c r="AF78" s="591"/>
      <c r="AG78" s="591"/>
      <c r="AH78" s="591"/>
      <c r="AI78" s="591"/>
      <c r="AJ78" s="591"/>
      <c r="AK78" s="591"/>
      <c r="AL78" s="591"/>
      <c r="AM78" s="591"/>
      <c r="AN78" s="591"/>
      <c r="AO78" s="591"/>
      <c r="AP78" s="591"/>
      <c r="AQ78" s="591"/>
      <c r="AR78" s="591"/>
      <c r="AS78" s="591"/>
      <c r="AT78" s="591"/>
      <c r="AU78" s="591"/>
      <c r="AV78" s="591"/>
      <c r="AW78" s="591"/>
      <c r="AX78" s="591"/>
      <c r="AY78" s="591"/>
      <c r="AZ78" s="591"/>
      <c r="BA78" s="591"/>
      <c r="BB78" s="591"/>
      <c r="BC78" s="591"/>
      <c r="BD78" s="591"/>
      <c r="BE78" s="591"/>
      <c r="BF78" s="591"/>
      <c r="BG78" s="591"/>
      <c r="BH78" s="591"/>
      <c r="BI78" s="591"/>
      <c r="BJ78" s="591"/>
      <c r="BK78" s="591"/>
      <c r="BL78" s="591"/>
      <c r="BM78" s="591"/>
      <c r="BN78" s="591"/>
      <c r="BO78" s="591"/>
      <c r="BP78" s="591"/>
      <c r="BQ78" s="591"/>
      <c r="BR78" s="591"/>
      <c r="BS78" s="591"/>
      <c r="BT78" s="591"/>
      <c r="BU78" s="591"/>
      <c r="BV78" s="591"/>
      <c r="BW78" s="591"/>
      <c r="BX78" s="591"/>
      <c r="BY78" s="591"/>
      <c r="BZ78" s="591"/>
      <c r="CA78" s="591"/>
      <c r="CB78" s="591"/>
      <c r="CC78" s="591"/>
      <c r="CD78" s="591"/>
      <c r="CE78" s="591"/>
      <c r="CF78" s="591"/>
      <c r="CG78" s="591"/>
      <c r="CH78" s="591"/>
      <c r="CI78" s="591"/>
      <c r="CJ78" s="591"/>
      <c r="CK78" s="591"/>
      <c r="CL78" s="591"/>
      <c r="CM78" s="591"/>
      <c r="CN78" s="591"/>
      <c r="CO78" s="591"/>
      <c r="CP78" s="591"/>
      <c r="CQ78" s="591"/>
      <c r="CR78" s="591"/>
      <c r="CS78" s="591"/>
      <c r="CT78" s="591"/>
      <c r="CU78" s="591"/>
      <c r="CV78" s="591"/>
      <c r="CW78" s="591"/>
      <c r="CX78" s="591"/>
      <c r="CY78" s="591"/>
      <c r="CZ78" s="591"/>
      <c r="DA78" s="591"/>
      <c r="DB78" s="591"/>
      <c r="DC78" s="591"/>
      <c r="DD78" s="591"/>
      <c r="DE78" s="591"/>
      <c r="DF78" s="591"/>
      <c r="DG78" s="591"/>
      <c r="DH78" s="591"/>
      <c r="DI78" s="591"/>
      <c r="DJ78" s="591"/>
      <c r="DK78" s="591"/>
      <c r="DL78" s="591"/>
      <c r="DM78" s="591"/>
      <c r="DN78" s="591"/>
      <c r="DO78" s="591"/>
      <c r="DP78" s="591"/>
      <c r="DQ78" s="591"/>
      <c r="DR78" s="591"/>
      <c r="DS78" s="591"/>
      <c r="DT78" s="591"/>
      <c r="DU78" s="591"/>
      <c r="DV78" s="591"/>
      <c r="DW78" s="591"/>
      <c r="DX78" s="591"/>
      <c r="DY78" s="591"/>
      <c r="DZ78" s="591"/>
      <c r="EA78" s="591"/>
      <c r="EB78" s="591"/>
      <c r="EC78" s="591"/>
      <c r="ED78" s="591"/>
      <c r="EE78" s="591"/>
      <c r="EF78" s="591"/>
      <c r="EG78" s="591"/>
      <c r="EH78" s="591"/>
      <c r="EI78" s="591"/>
      <c r="EJ78" s="591"/>
      <c r="EK78" s="591"/>
      <c r="EL78" s="591"/>
      <c r="EM78" s="591"/>
      <c r="EN78" s="591"/>
      <c r="EO78" s="591"/>
      <c r="EP78" s="591"/>
      <c r="EQ78" s="591"/>
      <c r="ER78" s="591"/>
      <c r="ES78" s="591"/>
      <c r="ET78" s="591"/>
      <c r="EU78" s="591"/>
      <c r="EV78" s="591"/>
      <c r="EW78" s="591"/>
      <c r="EX78" s="591"/>
      <c r="EY78" s="591"/>
      <c r="EZ78" s="591"/>
      <c r="FA78" s="591"/>
      <c r="FB78" s="591"/>
      <c r="FC78" s="591"/>
      <c r="FD78" s="591"/>
      <c r="FE78" s="591"/>
      <c r="FF78" s="591"/>
      <c r="FG78" s="591"/>
      <c r="FH78" s="591"/>
      <c r="FI78" s="591"/>
      <c r="FJ78" s="591"/>
      <c r="FK78" s="591"/>
      <c r="FL78" s="591"/>
      <c r="FM78" s="591"/>
      <c r="FN78" s="591"/>
      <c r="FO78" s="591"/>
      <c r="FP78" s="591"/>
      <c r="FQ78" s="591"/>
      <c r="FR78" s="591"/>
      <c r="FS78" s="591"/>
      <c r="FT78" s="591"/>
      <c r="FU78" s="591"/>
      <c r="FV78" s="591"/>
      <c r="FW78" s="591"/>
      <c r="FX78" s="591"/>
      <c r="FY78" s="591"/>
      <c r="FZ78" s="591"/>
      <c r="GA78" s="591"/>
      <c r="GB78" s="591"/>
      <c r="GC78" s="591"/>
      <c r="GD78" s="591"/>
      <c r="GE78" s="591"/>
      <c r="GF78" s="591"/>
      <c r="GG78" s="591"/>
      <c r="GH78" s="591"/>
      <c r="GI78" s="591"/>
      <c r="GJ78" s="591"/>
      <c r="GK78" s="591"/>
      <c r="GL78" s="591"/>
      <c r="GM78" s="591"/>
      <c r="GN78" s="591"/>
      <c r="GO78" s="591"/>
      <c r="GP78" s="591"/>
      <c r="GQ78" s="591"/>
      <c r="GR78" s="591"/>
      <c r="GS78" s="591"/>
      <c r="GT78" s="591"/>
      <c r="GU78" s="591"/>
      <c r="GV78" s="591"/>
      <c r="GW78" s="591"/>
      <c r="GX78" s="591"/>
      <c r="GY78" s="591"/>
      <c r="GZ78" s="591"/>
      <c r="HA78" s="591"/>
      <c r="HB78" s="591"/>
      <c r="HC78" s="591"/>
      <c r="HD78" s="591"/>
      <c r="HE78" s="591"/>
      <c r="HF78" s="591"/>
      <c r="HG78" s="591"/>
      <c r="HH78" s="591"/>
      <c r="HI78" s="591"/>
      <c r="HJ78" s="591"/>
      <c r="HK78" s="591"/>
      <c r="HL78" s="591"/>
      <c r="HM78" s="591"/>
      <c r="HN78" s="591"/>
      <c r="HO78" s="591"/>
      <c r="HP78" s="591"/>
      <c r="HQ78" s="591"/>
      <c r="HR78" s="591"/>
      <c r="HS78" s="591"/>
      <c r="HT78" s="591"/>
      <c r="HU78" s="591"/>
      <c r="HV78" s="591"/>
      <c r="HW78" s="591"/>
      <c r="HX78" s="591"/>
      <c r="HY78" s="591"/>
      <c r="HZ78" s="591"/>
      <c r="IA78" s="591"/>
      <c r="IB78" s="591"/>
      <c r="IC78" s="591"/>
      <c r="ID78" s="591"/>
      <c r="IE78" s="591"/>
      <c r="IF78" s="591"/>
      <c r="IG78" s="591"/>
      <c r="IH78" s="591"/>
      <c r="II78" s="591"/>
      <c r="IJ78" s="591"/>
      <c r="IK78" s="591"/>
      <c r="IL78" s="591"/>
      <c r="IM78" s="591"/>
      <c r="IN78" s="591"/>
      <c r="IO78" s="591"/>
      <c r="IP78" s="591"/>
      <c r="IQ78" s="591"/>
      <c r="IR78" s="591"/>
      <c r="IS78" s="591"/>
      <c r="IT78" s="591"/>
      <c r="IU78" s="591"/>
      <c r="IV78" s="591"/>
    </row>
    <row r="79" spans="1:256" ht="52.5">
      <c r="A79" s="27" t="s">
        <v>1678</v>
      </c>
      <c r="B79" s="535"/>
      <c r="C79" s="535" t="s">
        <v>1295</v>
      </c>
      <c r="D79" s="592">
        <v>23494.4</v>
      </c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91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  <c r="BG79" s="591"/>
      <c r="BH79" s="591"/>
      <c r="BI79" s="591"/>
      <c r="BJ79" s="591"/>
      <c r="BK79" s="591"/>
      <c r="BL79" s="591"/>
      <c r="BM79" s="591"/>
      <c r="BN79" s="591"/>
      <c r="BO79" s="591"/>
      <c r="BP79" s="591"/>
      <c r="BQ79" s="591"/>
      <c r="BR79" s="591"/>
      <c r="BS79" s="591"/>
      <c r="BT79" s="591"/>
      <c r="BU79" s="591"/>
      <c r="BV79" s="591"/>
      <c r="BW79" s="591"/>
      <c r="BX79" s="591"/>
      <c r="BY79" s="591"/>
      <c r="BZ79" s="591"/>
      <c r="CA79" s="591"/>
      <c r="CB79" s="591"/>
      <c r="CC79" s="591"/>
      <c r="CD79" s="591"/>
      <c r="CE79" s="591"/>
      <c r="CF79" s="591"/>
      <c r="CG79" s="591"/>
      <c r="CH79" s="591"/>
      <c r="CI79" s="591"/>
      <c r="CJ79" s="591"/>
      <c r="CK79" s="591"/>
      <c r="CL79" s="591"/>
      <c r="CM79" s="591"/>
      <c r="CN79" s="591"/>
      <c r="CO79" s="591"/>
      <c r="CP79" s="591"/>
      <c r="CQ79" s="591"/>
      <c r="CR79" s="591"/>
      <c r="CS79" s="591"/>
      <c r="CT79" s="591"/>
      <c r="CU79" s="591"/>
      <c r="CV79" s="591"/>
      <c r="CW79" s="591"/>
      <c r="CX79" s="591"/>
      <c r="CY79" s="591"/>
      <c r="CZ79" s="591"/>
      <c r="DA79" s="591"/>
      <c r="DB79" s="591"/>
      <c r="DC79" s="591"/>
      <c r="DD79" s="591"/>
      <c r="DE79" s="591"/>
      <c r="DF79" s="591"/>
      <c r="DG79" s="591"/>
      <c r="DH79" s="591"/>
      <c r="DI79" s="591"/>
      <c r="DJ79" s="591"/>
      <c r="DK79" s="591"/>
      <c r="DL79" s="591"/>
      <c r="DM79" s="591"/>
      <c r="DN79" s="591"/>
      <c r="DO79" s="591"/>
      <c r="DP79" s="591"/>
      <c r="DQ79" s="591"/>
      <c r="DR79" s="591"/>
      <c r="DS79" s="591"/>
      <c r="DT79" s="591"/>
      <c r="DU79" s="591"/>
      <c r="DV79" s="591"/>
      <c r="DW79" s="591"/>
      <c r="DX79" s="591"/>
      <c r="DY79" s="591"/>
      <c r="DZ79" s="591"/>
      <c r="EA79" s="591"/>
      <c r="EB79" s="591"/>
      <c r="EC79" s="591"/>
      <c r="ED79" s="591"/>
      <c r="EE79" s="591"/>
      <c r="EF79" s="591"/>
      <c r="EG79" s="591"/>
      <c r="EH79" s="591"/>
      <c r="EI79" s="591"/>
      <c r="EJ79" s="591"/>
      <c r="EK79" s="591"/>
      <c r="EL79" s="591"/>
      <c r="EM79" s="591"/>
      <c r="EN79" s="591"/>
      <c r="EO79" s="591"/>
      <c r="EP79" s="591"/>
      <c r="EQ79" s="591"/>
      <c r="ER79" s="591"/>
      <c r="ES79" s="591"/>
      <c r="ET79" s="591"/>
      <c r="EU79" s="591"/>
      <c r="EV79" s="591"/>
      <c r="EW79" s="591"/>
      <c r="EX79" s="591"/>
      <c r="EY79" s="591"/>
      <c r="EZ79" s="591"/>
      <c r="FA79" s="591"/>
      <c r="FB79" s="591"/>
      <c r="FC79" s="591"/>
      <c r="FD79" s="591"/>
      <c r="FE79" s="591"/>
      <c r="FF79" s="591"/>
      <c r="FG79" s="591"/>
      <c r="FH79" s="591"/>
      <c r="FI79" s="591"/>
      <c r="FJ79" s="591"/>
      <c r="FK79" s="591"/>
      <c r="FL79" s="591"/>
      <c r="FM79" s="591"/>
      <c r="FN79" s="591"/>
      <c r="FO79" s="591"/>
      <c r="FP79" s="591"/>
      <c r="FQ79" s="591"/>
      <c r="FR79" s="591"/>
      <c r="FS79" s="591"/>
      <c r="FT79" s="591"/>
      <c r="FU79" s="591"/>
      <c r="FV79" s="591"/>
      <c r="FW79" s="591"/>
      <c r="FX79" s="591"/>
      <c r="FY79" s="591"/>
      <c r="FZ79" s="591"/>
      <c r="GA79" s="591"/>
      <c r="GB79" s="591"/>
      <c r="GC79" s="591"/>
      <c r="GD79" s="591"/>
      <c r="GE79" s="591"/>
      <c r="GF79" s="591"/>
      <c r="GG79" s="591"/>
      <c r="GH79" s="591"/>
      <c r="GI79" s="591"/>
      <c r="GJ79" s="591"/>
      <c r="GK79" s="591"/>
      <c r="GL79" s="591"/>
      <c r="GM79" s="591"/>
      <c r="GN79" s="591"/>
      <c r="GO79" s="591"/>
      <c r="GP79" s="591"/>
      <c r="GQ79" s="591"/>
      <c r="GR79" s="591"/>
      <c r="GS79" s="591"/>
      <c r="GT79" s="591"/>
      <c r="GU79" s="591"/>
      <c r="GV79" s="591"/>
      <c r="GW79" s="591"/>
      <c r="GX79" s="591"/>
      <c r="GY79" s="591"/>
      <c r="GZ79" s="591"/>
      <c r="HA79" s="591"/>
      <c r="HB79" s="591"/>
      <c r="HC79" s="591"/>
      <c r="HD79" s="591"/>
      <c r="HE79" s="591"/>
      <c r="HF79" s="591"/>
      <c r="HG79" s="591"/>
      <c r="HH79" s="591"/>
      <c r="HI79" s="591"/>
      <c r="HJ79" s="591"/>
      <c r="HK79" s="591"/>
      <c r="HL79" s="591"/>
      <c r="HM79" s="591"/>
      <c r="HN79" s="591"/>
      <c r="HO79" s="591"/>
      <c r="HP79" s="591"/>
      <c r="HQ79" s="591"/>
      <c r="HR79" s="591"/>
      <c r="HS79" s="591"/>
      <c r="HT79" s="591"/>
      <c r="HU79" s="591"/>
      <c r="HV79" s="591"/>
      <c r="HW79" s="591"/>
      <c r="HX79" s="591"/>
      <c r="HY79" s="591"/>
      <c r="HZ79" s="591"/>
      <c r="IA79" s="591"/>
      <c r="IB79" s="591"/>
      <c r="IC79" s="591"/>
      <c r="ID79" s="591"/>
      <c r="IE79" s="591"/>
      <c r="IF79" s="591"/>
      <c r="IG79" s="591"/>
      <c r="IH79" s="591"/>
      <c r="II79" s="591"/>
      <c r="IJ79" s="591"/>
      <c r="IK79" s="591"/>
      <c r="IL79" s="591"/>
      <c r="IM79" s="591"/>
      <c r="IN79" s="591"/>
      <c r="IO79" s="591"/>
      <c r="IP79" s="591"/>
      <c r="IQ79" s="591"/>
      <c r="IR79" s="591"/>
      <c r="IS79" s="591"/>
      <c r="IT79" s="591"/>
      <c r="IU79" s="591"/>
      <c r="IV79" s="591"/>
    </row>
    <row r="80" spans="1:256" ht="52.5">
      <c r="A80" s="38" t="s">
        <v>359</v>
      </c>
      <c r="B80" s="535"/>
      <c r="C80" s="583" t="s">
        <v>376</v>
      </c>
      <c r="D80" s="592">
        <v>18689.3</v>
      </c>
      <c r="E80" s="591"/>
      <c r="F80" s="591"/>
      <c r="G80" s="591"/>
      <c r="H80" s="591"/>
      <c r="I80" s="591"/>
      <c r="J80" s="591"/>
      <c r="K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91"/>
      <c r="AS80" s="591"/>
      <c r="AT80" s="591"/>
      <c r="AU80" s="591"/>
      <c r="AV80" s="591"/>
      <c r="AW80" s="591"/>
      <c r="AX80" s="591"/>
      <c r="AY80" s="591"/>
      <c r="AZ80" s="591"/>
      <c r="BA80" s="591"/>
      <c r="BB80" s="591"/>
      <c r="BC80" s="591"/>
      <c r="BD80" s="591"/>
      <c r="BE80" s="591"/>
      <c r="BF80" s="591"/>
      <c r="BG80" s="591"/>
      <c r="BH80" s="591"/>
      <c r="BI80" s="591"/>
      <c r="BJ80" s="591"/>
      <c r="BK80" s="591"/>
      <c r="BL80" s="591"/>
      <c r="BM80" s="591"/>
      <c r="BN80" s="591"/>
      <c r="BO80" s="591"/>
      <c r="BP80" s="591"/>
      <c r="BQ80" s="591"/>
      <c r="BR80" s="591"/>
      <c r="BS80" s="591"/>
      <c r="BT80" s="591"/>
      <c r="BU80" s="591"/>
      <c r="BV80" s="591"/>
      <c r="BW80" s="591"/>
      <c r="BX80" s="591"/>
      <c r="BY80" s="591"/>
      <c r="BZ80" s="591"/>
      <c r="CA80" s="591"/>
      <c r="CB80" s="591"/>
      <c r="CC80" s="591"/>
      <c r="CD80" s="591"/>
      <c r="CE80" s="591"/>
      <c r="CF80" s="591"/>
      <c r="CG80" s="591"/>
      <c r="CH80" s="591"/>
      <c r="CI80" s="591"/>
      <c r="CJ80" s="591"/>
      <c r="CK80" s="591"/>
      <c r="CL80" s="591"/>
      <c r="CM80" s="591"/>
      <c r="CN80" s="591"/>
      <c r="CO80" s="591"/>
      <c r="CP80" s="591"/>
      <c r="CQ80" s="591"/>
      <c r="CR80" s="591"/>
      <c r="CS80" s="591"/>
      <c r="CT80" s="591"/>
      <c r="CU80" s="591"/>
      <c r="CV80" s="591"/>
      <c r="CW80" s="591"/>
      <c r="CX80" s="591"/>
      <c r="CY80" s="591"/>
      <c r="CZ80" s="591"/>
      <c r="DA80" s="591"/>
      <c r="DB80" s="591"/>
      <c r="DC80" s="591"/>
      <c r="DD80" s="591"/>
      <c r="DE80" s="591"/>
      <c r="DF80" s="591"/>
      <c r="DG80" s="591"/>
      <c r="DH80" s="591"/>
      <c r="DI80" s="591"/>
      <c r="DJ80" s="591"/>
      <c r="DK80" s="591"/>
      <c r="DL80" s="591"/>
      <c r="DM80" s="591"/>
      <c r="DN80" s="591"/>
      <c r="DO80" s="591"/>
      <c r="DP80" s="591"/>
      <c r="DQ80" s="591"/>
      <c r="DR80" s="591"/>
      <c r="DS80" s="591"/>
      <c r="DT80" s="591"/>
      <c r="DU80" s="591"/>
      <c r="DV80" s="591"/>
      <c r="DW80" s="591"/>
      <c r="DX80" s="591"/>
      <c r="DY80" s="591"/>
      <c r="DZ80" s="591"/>
      <c r="EA80" s="591"/>
      <c r="EB80" s="591"/>
      <c r="EC80" s="591"/>
      <c r="ED80" s="591"/>
      <c r="EE80" s="591"/>
      <c r="EF80" s="591"/>
      <c r="EG80" s="591"/>
      <c r="EH80" s="591"/>
      <c r="EI80" s="591"/>
      <c r="EJ80" s="591"/>
      <c r="EK80" s="591"/>
      <c r="EL80" s="591"/>
      <c r="EM80" s="591"/>
      <c r="EN80" s="591"/>
      <c r="EO80" s="591"/>
      <c r="EP80" s="591"/>
      <c r="EQ80" s="591"/>
      <c r="ER80" s="591"/>
      <c r="ES80" s="591"/>
      <c r="ET80" s="591"/>
      <c r="EU80" s="591"/>
      <c r="EV80" s="591"/>
      <c r="EW80" s="591"/>
      <c r="EX80" s="591"/>
      <c r="EY80" s="591"/>
      <c r="EZ80" s="591"/>
      <c r="FA80" s="591"/>
      <c r="FB80" s="591"/>
      <c r="FC80" s="591"/>
      <c r="FD80" s="591"/>
      <c r="FE80" s="591"/>
      <c r="FF80" s="591"/>
      <c r="FG80" s="591"/>
      <c r="FH80" s="591"/>
      <c r="FI80" s="591"/>
      <c r="FJ80" s="591"/>
      <c r="FK80" s="591"/>
      <c r="FL80" s="591"/>
      <c r="FM80" s="591"/>
      <c r="FN80" s="591"/>
      <c r="FO80" s="591"/>
      <c r="FP80" s="591"/>
      <c r="FQ80" s="591"/>
      <c r="FR80" s="591"/>
      <c r="FS80" s="591"/>
      <c r="FT80" s="591"/>
      <c r="FU80" s="591"/>
      <c r="FV80" s="591"/>
      <c r="FW80" s="591"/>
      <c r="FX80" s="591"/>
      <c r="FY80" s="591"/>
      <c r="FZ80" s="591"/>
      <c r="GA80" s="591"/>
      <c r="GB80" s="591"/>
      <c r="GC80" s="591"/>
      <c r="GD80" s="591"/>
      <c r="GE80" s="591"/>
      <c r="GF80" s="591"/>
      <c r="GG80" s="591"/>
      <c r="GH80" s="591"/>
      <c r="GI80" s="591"/>
      <c r="GJ80" s="591"/>
      <c r="GK80" s="591"/>
      <c r="GL80" s="591"/>
      <c r="GM80" s="591"/>
      <c r="GN80" s="591"/>
      <c r="GO80" s="591"/>
      <c r="GP80" s="591"/>
      <c r="GQ80" s="591"/>
      <c r="GR80" s="591"/>
      <c r="GS80" s="591"/>
      <c r="GT80" s="591"/>
      <c r="GU80" s="591"/>
      <c r="GV80" s="591"/>
      <c r="GW80" s="591"/>
      <c r="GX80" s="591"/>
      <c r="GY80" s="591"/>
      <c r="GZ80" s="591"/>
      <c r="HA80" s="591"/>
      <c r="HB80" s="591"/>
      <c r="HC80" s="591"/>
      <c r="HD80" s="591"/>
      <c r="HE80" s="591"/>
      <c r="HF80" s="591"/>
      <c r="HG80" s="591"/>
      <c r="HH80" s="591"/>
      <c r="HI80" s="591"/>
      <c r="HJ80" s="591"/>
      <c r="HK80" s="591"/>
      <c r="HL80" s="591"/>
      <c r="HM80" s="591"/>
      <c r="HN80" s="591"/>
      <c r="HO80" s="591"/>
      <c r="HP80" s="591"/>
      <c r="HQ80" s="591"/>
      <c r="HR80" s="591"/>
      <c r="HS80" s="591"/>
      <c r="HT80" s="591"/>
      <c r="HU80" s="591"/>
      <c r="HV80" s="591"/>
      <c r="HW80" s="591"/>
      <c r="HX80" s="591"/>
      <c r="HY80" s="591"/>
      <c r="HZ80" s="591"/>
      <c r="IA80" s="591"/>
      <c r="IB80" s="591"/>
      <c r="IC80" s="591"/>
      <c r="ID80" s="591"/>
      <c r="IE80" s="591"/>
      <c r="IF80" s="591"/>
      <c r="IG80" s="591"/>
      <c r="IH80" s="591"/>
      <c r="II80" s="591"/>
      <c r="IJ80" s="591"/>
      <c r="IK80" s="591"/>
      <c r="IL80" s="591"/>
      <c r="IM80" s="591"/>
      <c r="IN80" s="591"/>
      <c r="IO80" s="591"/>
      <c r="IP80" s="591"/>
      <c r="IQ80" s="591"/>
      <c r="IR80" s="591"/>
      <c r="IS80" s="591"/>
      <c r="IT80" s="591"/>
      <c r="IU80" s="591"/>
      <c r="IV80" s="591"/>
    </row>
    <row r="81" spans="1:256" ht="26.25">
      <c r="A81" s="27" t="s">
        <v>71</v>
      </c>
      <c r="B81" s="535"/>
      <c r="C81" s="535" t="s">
        <v>72</v>
      </c>
      <c r="D81" s="592">
        <v>1079</v>
      </c>
      <c r="E81" s="591"/>
      <c r="F81" s="591"/>
      <c r="G81" s="591"/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91"/>
      <c r="AS81" s="591"/>
      <c r="AT81" s="591"/>
      <c r="AU81" s="591"/>
      <c r="AV81" s="591"/>
      <c r="AW81" s="591"/>
      <c r="AX81" s="591"/>
      <c r="AY81" s="591"/>
      <c r="AZ81" s="591"/>
      <c r="BA81" s="591"/>
      <c r="BB81" s="591"/>
      <c r="BC81" s="591"/>
      <c r="BD81" s="591"/>
      <c r="BE81" s="591"/>
      <c r="BF81" s="591"/>
      <c r="BG81" s="591"/>
      <c r="BH81" s="591"/>
      <c r="BI81" s="591"/>
      <c r="BJ81" s="591"/>
      <c r="BK81" s="591"/>
      <c r="BL81" s="591"/>
      <c r="BM81" s="591"/>
      <c r="BN81" s="591"/>
      <c r="BO81" s="591"/>
      <c r="BP81" s="591"/>
      <c r="BQ81" s="591"/>
      <c r="BR81" s="591"/>
      <c r="BS81" s="591"/>
      <c r="BT81" s="591"/>
      <c r="BU81" s="591"/>
      <c r="BV81" s="591"/>
      <c r="BW81" s="591"/>
      <c r="BX81" s="591"/>
      <c r="BY81" s="591"/>
      <c r="BZ81" s="591"/>
      <c r="CA81" s="591"/>
      <c r="CB81" s="591"/>
      <c r="CC81" s="591"/>
      <c r="CD81" s="591"/>
      <c r="CE81" s="591"/>
      <c r="CF81" s="591"/>
      <c r="CG81" s="591"/>
      <c r="CH81" s="591"/>
      <c r="CI81" s="591"/>
      <c r="CJ81" s="591"/>
      <c r="CK81" s="591"/>
      <c r="CL81" s="591"/>
      <c r="CM81" s="591"/>
      <c r="CN81" s="591"/>
      <c r="CO81" s="591"/>
      <c r="CP81" s="591"/>
      <c r="CQ81" s="591"/>
      <c r="CR81" s="591"/>
      <c r="CS81" s="591"/>
      <c r="CT81" s="591"/>
      <c r="CU81" s="591"/>
      <c r="CV81" s="591"/>
      <c r="CW81" s="591"/>
      <c r="CX81" s="591"/>
      <c r="CY81" s="591"/>
      <c r="CZ81" s="591"/>
      <c r="DA81" s="591"/>
      <c r="DB81" s="591"/>
      <c r="DC81" s="591"/>
      <c r="DD81" s="591"/>
      <c r="DE81" s="591"/>
      <c r="DF81" s="591"/>
      <c r="DG81" s="591"/>
      <c r="DH81" s="591"/>
      <c r="DI81" s="591"/>
      <c r="DJ81" s="591"/>
      <c r="DK81" s="591"/>
      <c r="DL81" s="591"/>
      <c r="DM81" s="591"/>
      <c r="DN81" s="591"/>
      <c r="DO81" s="591"/>
      <c r="DP81" s="591"/>
      <c r="DQ81" s="591"/>
      <c r="DR81" s="591"/>
      <c r="DS81" s="591"/>
      <c r="DT81" s="591"/>
      <c r="DU81" s="591"/>
      <c r="DV81" s="591"/>
      <c r="DW81" s="591"/>
      <c r="DX81" s="591"/>
      <c r="DY81" s="591"/>
      <c r="DZ81" s="591"/>
      <c r="EA81" s="591"/>
      <c r="EB81" s="591"/>
      <c r="EC81" s="591"/>
      <c r="ED81" s="591"/>
      <c r="EE81" s="591"/>
      <c r="EF81" s="591"/>
      <c r="EG81" s="591"/>
      <c r="EH81" s="591"/>
      <c r="EI81" s="591"/>
      <c r="EJ81" s="591"/>
      <c r="EK81" s="591"/>
      <c r="EL81" s="591"/>
      <c r="EM81" s="591"/>
      <c r="EN81" s="591"/>
      <c r="EO81" s="591"/>
      <c r="EP81" s="591"/>
      <c r="EQ81" s="591"/>
      <c r="ER81" s="591"/>
      <c r="ES81" s="591"/>
      <c r="ET81" s="591"/>
      <c r="EU81" s="591"/>
      <c r="EV81" s="591"/>
      <c r="EW81" s="591"/>
      <c r="EX81" s="591"/>
      <c r="EY81" s="591"/>
      <c r="EZ81" s="591"/>
      <c r="FA81" s="591"/>
      <c r="FB81" s="591"/>
      <c r="FC81" s="591"/>
      <c r="FD81" s="591"/>
      <c r="FE81" s="591"/>
      <c r="FF81" s="591"/>
      <c r="FG81" s="591"/>
      <c r="FH81" s="591"/>
      <c r="FI81" s="591"/>
      <c r="FJ81" s="591"/>
      <c r="FK81" s="591"/>
      <c r="FL81" s="591"/>
      <c r="FM81" s="591"/>
      <c r="FN81" s="591"/>
      <c r="FO81" s="591"/>
      <c r="FP81" s="591"/>
      <c r="FQ81" s="591"/>
      <c r="FR81" s="591"/>
      <c r="FS81" s="591"/>
      <c r="FT81" s="591"/>
      <c r="FU81" s="591"/>
      <c r="FV81" s="591"/>
      <c r="FW81" s="591"/>
      <c r="FX81" s="591"/>
      <c r="FY81" s="591"/>
      <c r="FZ81" s="591"/>
      <c r="GA81" s="591"/>
      <c r="GB81" s="591"/>
      <c r="GC81" s="591"/>
      <c r="GD81" s="591"/>
      <c r="GE81" s="591"/>
      <c r="GF81" s="591"/>
      <c r="GG81" s="591"/>
      <c r="GH81" s="591"/>
      <c r="GI81" s="591"/>
      <c r="GJ81" s="591"/>
      <c r="GK81" s="591"/>
      <c r="GL81" s="591"/>
      <c r="GM81" s="591"/>
      <c r="GN81" s="591"/>
      <c r="GO81" s="591"/>
      <c r="GP81" s="591"/>
      <c r="GQ81" s="591"/>
      <c r="GR81" s="591"/>
      <c r="GS81" s="591"/>
      <c r="GT81" s="591"/>
      <c r="GU81" s="591"/>
      <c r="GV81" s="591"/>
      <c r="GW81" s="591"/>
      <c r="GX81" s="591"/>
      <c r="GY81" s="591"/>
      <c r="GZ81" s="591"/>
      <c r="HA81" s="591"/>
      <c r="HB81" s="591"/>
      <c r="HC81" s="591"/>
      <c r="HD81" s="591"/>
      <c r="HE81" s="591"/>
      <c r="HF81" s="591"/>
      <c r="HG81" s="591"/>
      <c r="HH81" s="591"/>
      <c r="HI81" s="591"/>
      <c r="HJ81" s="591"/>
      <c r="HK81" s="591"/>
      <c r="HL81" s="591"/>
      <c r="HM81" s="591"/>
      <c r="HN81" s="591"/>
      <c r="HO81" s="591"/>
      <c r="HP81" s="591"/>
      <c r="HQ81" s="591"/>
      <c r="HR81" s="591"/>
      <c r="HS81" s="591"/>
      <c r="HT81" s="591"/>
      <c r="HU81" s="591"/>
      <c r="HV81" s="591"/>
      <c r="HW81" s="591"/>
      <c r="HX81" s="591"/>
      <c r="HY81" s="591"/>
      <c r="HZ81" s="591"/>
      <c r="IA81" s="591"/>
      <c r="IB81" s="591"/>
      <c r="IC81" s="591"/>
      <c r="ID81" s="591"/>
      <c r="IE81" s="591"/>
      <c r="IF81" s="591"/>
      <c r="IG81" s="591"/>
      <c r="IH81" s="591"/>
      <c r="II81" s="591"/>
      <c r="IJ81" s="591"/>
      <c r="IK81" s="591"/>
      <c r="IL81" s="591"/>
      <c r="IM81" s="591"/>
      <c r="IN81" s="591"/>
      <c r="IO81" s="591"/>
      <c r="IP81" s="591"/>
      <c r="IQ81" s="591"/>
      <c r="IR81" s="591"/>
      <c r="IS81" s="591"/>
      <c r="IT81" s="591"/>
      <c r="IU81" s="591"/>
      <c r="IV81" s="591"/>
    </row>
    <row r="82" spans="1:256" ht="66">
      <c r="A82" s="27" t="s">
        <v>1511</v>
      </c>
      <c r="B82" s="535"/>
      <c r="C82" s="535" t="s">
        <v>1341</v>
      </c>
      <c r="D82" s="592">
        <v>166537.9</v>
      </c>
      <c r="E82" s="591"/>
      <c r="F82" s="591"/>
      <c r="G82" s="591"/>
      <c r="H82" s="591"/>
      <c r="I82" s="591"/>
      <c r="J82" s="591"/>
      <c r="K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91"/>
      <c r="AS82" s="591"/>
      <c r="AT82" s="591"/>
      <c r="AU82" s="591"/>
      <c r="AV82" s="591"/>
      <c r="AW82" s="591"/>
      <c r="AX82" s="591"/>
      <c r="AY82" s="591"/>
      <c r="AZ82" s="591"/>
      <c r="BA82" s="591"/>
      <c r="BB82" s="591"/>
      <c r="BC82" s="591"/>
      <c r="BD82" s="591"/>
      <c r="BE82" s="591"/>
      <c r="BF82" s="591"/>
      <c r="BG82" s="591"/>
      <c r="BH82" s="591"/>
      <c r="BI82" s="591"/>
      <c r="BJ82" s="591"/>
      <c r="BK82" s="591"/>
      <c r="BL82" s="591"/>
      <c r="BM82" s="591"/>
      <c r="BN82" s="591"/>
      <c r="BO82" s="591"/>
      <c r="BP82" s="591"/>
      <c r="BQ82" s="591"/>
      <c r="BR82" s="591"/>
      <c r="BS82" s="591"/>
      <c r="BT82" s="591"/>
      <c r="BU82" s="591"/>
      <c r="BV82" s="591"/>
      <c r="BW82" s="591"/>
      <c r="BX82" s="591"/>
      <c r="BY82" s="591"/>
      <c r="BZ82" s="591"/>
      <c r="CA82" s="591"/>
      <c r="CB82" s="591"/>
      <c r="CC82" s="591"/>
      <c r="CD82" s="591"/>
      <c r="CE82" s="591"/>
      <c r="CF82" s="591"/>
      <c r="CG82" s="591"/>
      <c r="CH82" s="591"/>
      <c r="CI82" s="591"/>
      <c r="CJ82" s="591"/>
      <c r="CK82" s="591"/>
      <c r="CL82" s="591"/>
      <c r="CM82" s="591"/>
      <c r="CN82" s="591"/>
      <c r="CO82" s="591"/>
      <c r="CP82" s="591"/>
      <c r="CQ82" s="591"/>
      <c r="CR82" s="591"/>
      <c r="CS82" s="591"/>
      <c r="CT82" s="591"/>
      <c r="CU82" s="591"/>
      <c r="CV82" s="591"/>
      <c r="CW82" s="591"/>
      <c r="CX82" s="591"/>
      <c r="CY82" s="591"/>
      <c r="CZ82" s="591"/>
      <c r="DA82" s="591"/>
      <c r="DB82" s="591"/>
      <c r="DC82" s="591"/>
      <c r="DD82" s="591"/>
      <c r="DE82" s="591"/>
      <c r="DF82" s="591"/>
      <c r="DG82" s="591"/>
      <c r="DH82" s="591"/>
      <c r="DI82" s="591"/>
      <c r="DJ82" s="591"/>
      <c r="DK82" s="591"/>
      <c r="DL82" s="591"/>
      <c r="DM82" s="591"/>
      <c r="DN82" s="591"/>
      <c r="DO82" s="591"/>
      <c r="DP82" s="591"/>
      <c r="DQ82" s="591"/>
      <c r="DR82" s="591"/>
      <c r="DS82" s="591"/>
      <c r="DT82" s="591"/>
      <c r="DU82" s="591"/>
      <c r="DV82" s="591"/>
      <c r="DW82" s="591"/>
      <c r="DX82" s="591"/>
      <c r="DY82" s="591"/>
      <c r="DZ82" s="591"/>
      <c r="EA82" s="591"/>
      <c r="EB82" s="591"/>
      <c r="EC82" s="591"/>
      <c r="ED82" s="591"/>
      <c r="EE82" s="591"/>
      <c r="EF82" s="591"/>
      <c r="EG82" s="591"/>
      <c r="EH82" s="591"/>
      <c r="EI82" s="591"/>
      <c r="EJ82" s="591"/>
      <c r="EK82" s="591"/>
      <c r="EL82" s="591"/>
      <c r="EM82" s="591"/>
      <c r="EN82" s="591"/>
      <c r="EO82" s="591"/>
      <c r="EP82" s="591"/>
      <c r="EQ82" s="591"/>
      <c r="ER82" s="591"/>
      <c r="ES82" s="591"/>
      <c r="ET82" s="591"/>
      <c r="EU82" s="591"/>
      <c r="EV82" s="591"/>
      <c r="EW82" s="591"/>
      <c r="EX82" s="591"/>
      <c r="EY82" s="591"/>
      <c r="EZ82" s="591"/>
      <c r="FA82" s="591"/>
      <c r="FB82" s="591"/>
      <c r="FC82" s="591"/>
      <c r="FD82" s="591"/>
      <c r="FE82" s="591"/>
      <c r="FF82" s="591"/>
      <c r="FG82" s="591"/>
      <c r="FH82" s="591"/>
      <c r="FI82" s="591"/>
      <c r="FJ82" s="591"/>
      <c r="FK82" s="591"/>
      <c r="FL82" s="591"/>
      <c r="FM82" s="591"/>
      <c r="FN82" s="591"/>
      <c r="FO82" s="591"/>
      <c r="FP82" s="591"/>
      <c r="FQ82" s="591"/>
      <c r="FR82" s="591"/>
      <c r="FS82" s="591"/>
      <c r="FT82" s="591"/>
      <c r="FU82" s="591"/>
      <c r="FV82" s="591"/>
      <c r="FW82" s="591"/>
      <c r="FX82" s="591"/>
      <c r="FY82" s="591"/>
      <c r="FZ82" s="591"/>
      <c r="GA82" s="591"/>
      <c r="GB82" s="591"/>
      <c r="GC82" s="591"/>
      <c r="GD82" s="591"/>
      <c r="GE82" s="591"/>
      <c r="GF82" s="591"/>
      <c r="GG82" s="591"/>
      <c r="GH82" s="591"/>
      <c r="GI82" s="591"/>
      <c r="GJ82" s="591"/>
      <c r="GK82" s="591"/>
      <c r="GL82" s="591"/>
      <c r="GM82" s="591"/>
      <c r="GN82" s="591"/>
      <c r="GO82" s="591"/>
      <c r="GP82" s="591"/>
      <c r="GQ82" s="591"/>
      <c r="GR82" s="591"/>
      <c r="GS82" s="591"/>
      <c r="GT82" s="591"/>
      <c r="GU82" s="591"/>
      <c r="GV82" s="591"/>
      <c r="GW82" s="591"/>
      <c r="GX82" s="591"/>
      <c r="GY82" s="591"/>
      <c r="GZ82" s="591"/>
      <c r="HA82" s="591"/>
      <c r="HB82" s="591"/>
      <c r="HC82" s="591"/>
      <c r="HD82" s="591"/>
      <c r="HE82" s="591"/>
      <c r="HF82" s="591"/>
      <c r="HG82" s="591"/>
      <c r="HH82" s="591"/>
      <c r="HI82" s="591"/>
      <c r="HJ82" s="591"/>
      <c r="HK82" s="591"/>
      <c r="HL82" s="591"/>
      <c r="HM82" s="591"/>
      <c r="HN82" s="591"/>
      <c r="HO82" s="591"/>
      <c r="HP82" s="591"/>
      <c r="HQ82" s="591"/>
      <c r="HR82" s="591"/>
      <c r="HS82" s="591"/>
      <c r="HT82" s="591"/>
      <c r="HU82" s="591"/>
      <c r="HV82" s="591"/>
      <c r="HW82" s="591"/>
      <c r="HX82" s="591"/>
      <c r="HY82" s="591"/>
      <c r="HZ82" s="591"/>
      <c r="IA82" s="591"/>
      <c r="IB82" s="591"/>
      <c r="IC82" s="591"/>
      <c r="ID82" s="591"/>
      <c r="IE82" s="591"/>
      <c r="IF82" s="591"/>
      <c r="IG82" s="591"/>
      <c r="IH82" s="591"/>
      <c r="II82" s="591"/>
      <c r="IJ82" s="591"/>
      <c r="IK82" s="591"/>
      <c r="IL82" s="591"/>
      <c r="IM82" s="591"/>
      <c r="IN82" s="591"/>
      <c r="IO82" s="591"/>
      <c r="IP82" s="591"/>
      <c r="IQ82" s="591"/>
      <c r="IR82" s="591"/>
      <c r="IS82" s="591"/>
      <c r="IT82" s="591"/>
      <c r="IU82" s="591"/>
      <c r="IV82" s="591"/>
    </row>
    <row r="83" spans="1:4" ht="39">
      <c r="A83" s="27" t="s">
        <v>1057</v>
      </c>
      <c r="B83" s="535"/>
      <c r="C83" s="535" t="s">
        <v>510</v>
      </c>
      <c r="D83" s="592">
        <v>148462.9</v>
      </c>
    </row>
    <row r="84" spans="1:4" ht="26.25">
      <c r="A84" s="27" t="s">
        <v>277</v>
      </c>
      <c r="B84" s="535"/>
      <c r="C84" s="535" t="s">
        <v>765</v>
      </c>
      <c r="D84" s="592">
        <v>2</v>
      </c>
    </row>
    <row r="85" spans="1:4" ht="13.5">
      <c r="A85" s="27" t="s">
        <v>1638</v>
      </c>
      <c r="B85" s="535"/>
      <c r="C85" s="535" t="s">
        <v>1336</v>
      </c>
      <c r="D85" s="592">
        <v>43.3</v>
      </c>
    </row>
    <row r="86" spans="1:4" ht="39">
      <c r="A86" s="597" t="s">
        <v>377</v>
      </c>
      <c r="B86" s="578" t="s">
        <v>360</v>
      </c>
      <c r="C86" s="535"/>
      <c r="D86" s="588">
        <f>D87</f>
        <v>10.7</v>
      </c>
    </row>
    <row r="87" spans="1:4" ht="26.25">
      <c r="A87" s="27" t="s">
        <v>277</v>
      </c>
      <c r="B87" s="535"/>
      <c r="C87" s="535" t="s">
        <v>363</v>
      </c>
      <c r="D87" s="592">
        <v>10.7</v>
      </c>
    </row>
    <row r="88" spans="1:4" ht="26.25">
      <c r="A88" s="577" t="s">
        <v>361</v>
      </c>
      <c r="B88" s="578" t="s">
        <v>362</v>
      </c>
      <c r="C88" s="535"/>
      <c r="D88" s="588">
        <f>D89</f>
        <v>3</v>
      </c>
    </row>
    <row r="89" spans="1:4" ht="39">
      <c r="A89" s="27" t="s">
        <v>468</v>
      </c>
      <c r="B89" s="535"/>
      <c r="C89" s="502" t="s">
        <v>469</v>
      </c>
      <c r="D89" s="592">
        <v>3</v>
      </c>
    </row>
    <row r="90" spans="1:4" ht="13.5">
      <c r="A90" s="577" t="s">
        <v>364</v>
      </c>
      <c r="B90" s="578">
        <v>182</v>
      </c>
      <c r="C90" s="583"/>
      <c r="D90" s="588">
        <f>SUM(D91:D103)</f>
        <v>2700370.4999999995</v>
      </c>
    </row>
    <row r="91" spans="1:4" ht="13.5">
      <c r="A91" s="598" t="s">
        <v>1345</v>
      </c>
      <c r="B91" s="578"/>
      <c r="C91" s="583" t="s">
        <v>1346</v>
      </c>
      <c r="D91" s="592">
        <v>1034707.5</v>
      </c>
    </row>
    <row r="92" spans="1:4" ht="26.25">
      <c r="A92" s="38" t="s">
        <v>79</v>
      </c>
      <c r="B92" s="583"/>
      <c r="C92" s="583" t="s">
        <v>80</v>
      </c>
      <c r="D92" s="592">
        <v>182157.8</v>
      </c>
    </row>
    <row r="93" spans="1:4" ht="13.5">
      <c r="A93" s="38" t="s">
        <v>393</v>
      </c>
      <c r="B93" s="583"/>
      <c r="C93" s="583" t="s">
        <v>23</v>
      </c>
      <c r="D93" s="592">
        <v>126076.2</v>
      </c>
    </row>
    <row r="94" spans="1:4" ht="13.5">
      <c r="A94" s="38" t="s">
        <v>774</v>
      </c>
      <c r="B94" s="599"/>
      <c r="C94" s="583" t="s">
        <v>453</v>
      </c>
      <c r="D94" s="592">
        <v>28.5</v>
      </c>
    </row>
    <row r="95" spans="1:4" ht="26.25">
      <c r="A95" s="38" t="s">
        <v>214</v>
      </c>
      <c r="B95" s="599"/>
      <c r="C95" s="583" t="s">
        <v>365</v>
      </c>
      <c r="D95" s="592">
        <v>10472.9</v>
      </c>
    </row>
    <row r="96" spans="1:4" ht="13.5">
      <c r="A96" s="38" t="s">
        <v>125</v>
      </c>
      <c r="B96" s="583"/>
      <c r="C96" s="583" t="s">
        <v>126</v>
      </c>
      <c r="D96" s="592">
        <v>84876.1</v>
      </c>
    </row>
    <row r="97" spans="1:4" ht="13.5">
      <c r="A97" s="38" t="s">
        <v>1043</v>
      </c>
      <c r="B97" s="583"/>
      <c r="C97" s="583" t="s">
        <v>390</v>
      </c>
      <c r="D97" s="592">
        <v>1231421.9</v>
      </c>
    </row>
    <row r="98" spans="1:4" ht="26.25">
      <c r="A98" s="38" t="s">
        <v>1676</v>
      </c>
      <c r="B98" s="583"/>
      <c r="C98" s="583" t="s">
        <v>1642</v>
      </c>
      <c r="D98" s="592">
        <v>28958.3</v>
      </c>
    </row>
    <row r="99" spans="1:4" ht="26.25">
      <c r="A99" s="38" t="s">
        <v>366</v>
      </c>
      <c r="B99" s="583"/>
      <c r="C99" s="583" t="s">
        <v>1310</v>
      </c>
      <c r="D99" s="600">
        <v>81.9</v>
      </c>
    </row>
    <row r="100" spans="1:4" ht="66">
      <c r="A100" s="38" t="s">
        <v>255</v>
      </c>
      <c r="B100" s="583"/>
      <c r="C100" s="583" t="s">
        <v>58</v>
      </c>
      <c r="D100" s="592">
        <v>494</v>
      </c>
    </row>
    <row r="101" spans="1:4" ht="39">
      <c r="A101" s="38" t="s">
        <v>1606</v>
      </c>
      <c r="B101" s="583"/>
      <c r="C101" s="583" t="s">
        <v>1607</v>
      </c>
      <c r="D101" s="592">
        <v>87.8</v>
      </c>
    </row>
    <row r="102" spans="1:4" ht="39">
      <c r="A102" s="38" t="s">
        <v>1608</v>
      </c>
      <c r="B102" s="583"/>
      <c r="C102" s="583" t="s">
        <v>1426</v>
      </c>
      <c r="D102" s="592">
        <v>1007.6</v>
      </c>
    </row>
    <row r="103" spans="1:4" ht="26.25">
      <c r="A103" s="38" t="s">
        <v>277</v>
      </c>
      <c r="B103" s="583"/>
      <c r="C103" s="583" t="s">
        <v>765</v>
      </c>
      <c r="D103" s="592">
        <v>0</v>
      </c>
    </row>
    <row r="104" spans="1:4" ht="13.5">
      <c r="A104" s="577" t="s">
        <v>367</v>
      </c>
      <c r="B104" s="578" t="s">
        <v>368</v>
      </c>
      <c r="C104" s="583"/>
      <c r="D104" s="588">
        <f>D105+D106+D107+D108</f>
        <v>9333.2</v>
      </c>
    </row>
    <row r="105" spans="1:4" ht="39">
      <c r="A105" s="27" t="s">
        <v>579</v>
      </c>
      <c r="B105" s="535"/>
      <c r="C105" s="535" t="s">
        <v>580</v>
      </c>
      <c r="D105" s="592">
        <v>497</v>
      </c>
    </row>
    <row r="106" spans="1:4" ht="26.25">
      <c r="A106" s="27" t="s">
        <v>1276</v>
      </c>
      <c r="B106" s="535"/>
      <c r="C106" s="535" t="s">
        <v>683</v>
      </c>
      <c r="D106" s="592">
        <v>551.7</v>
      </c>
    </row>
    <row r="107" spans="1:4" ht="52.5">
      <c r="A107" s="27" t="s">
        <v>1229</v>
      </c>
      <c r="B107" s="535"/>
      <c r="C107" s="535" t="s">
        <v>1230</v>
      </c>
      <c r="D107" s="592">
        <v>1937.8</v>
      </c>
    </row>
    <row r="108" spans="1:4" ht="26.25">
      <c r="A108" s="27" t="s">
        <v>277</v>
      </c>
      <c r="B108" s="535"/>
      <c r="C108" s="535" t="s">
        <v>765</v>
      </c>
      <c r="D108" s="592">
        <v>6346.7</v>
      </c>
    </row>
    <row r="109" spans="1:4" ht="13.5">
      <c r="A109" s="577" t="s">
        <v>369</v>
      </c>
      <c r="B109" s="578" t="s">
        <v>370</v>
      </c>
      <c r="C109" s="535"/>
      <c r="D109" s="588">
        <f>D110+D111</f>
        <v>18</v>
      </c>
    </row>
    <row r="110" spans="1:4" ht="52.5">
      <c r="A110" s="27" t="s">
        <v>1229</v>
      </c>
      <c r="B110" s="535"/>
      <c r="C110" s="535" t="s">
        <v>1230</v>
      </c>
      <c r="D110" s="592">
        <v>18</v>
      </c>
    </row>
    <row r="111" spans="1:4" ht="26.25">
      <c r="A111" s="27" t="s">
        <v>277</v>
      </c>
      <c r="B111" s="535"/>
      <c r="C111" s="535" t="s">
        <v>765</v>
      </c>
      <c r="D111" s="592">
        <v>0</v>
      </c>
    </row>
    <row r="112" spans="1:4" ht="26.25">
      <c r="A112" s="577" t="s">
        <v>371</v>
      </c>
      <c r="B112" s="578" t="s">
        <v>1177</v>
      </c>
      <c r="C112" s="583"/>
      <c r="D112" s="588">
        <f>D113</f>
        <v>285.9</v>
      </c>
    </row>
    <row r="113" spans="1:4" ht="26.25">
      <c r="A113" s="27" t="s">
        <v>146</v>
      </c>
      <c r="B113" s="535"/>
      <c r="C113" s="535" t="s">
        <v>1612</v>
      </c>
      <c r="D113" s="592">
        <v>285.9</v>
      </c>
    </row>
    <row r="114" spans="1:4" ht="26.25">
      <c r="A114" s="601" t="s">
        <v>372</v>
      </c>
      <c r="B114" s="578" t="s">
        <v>373</v>
      </c>
      <c r="C114" s="583"/>
      <c r="D114" s="588">
        <f>D115</f>
        <v>72</v>
      </c>
    </row>
    <row r="115" spans="1:4" ht="39">
      <c r="A115" s="27" t="s">
        <v>276</v>
      </c>
      <c r="B115" s="602"/>
      <c r="C115" s="535" t="s">
        <v>1231</v>
      </c>
      <c r="D115" s="592">
        <v>72</v>
      </c>
    </row>
    <row r="116" spans="1:4" ht="26.25">
      <c r="A116" s="601" t="s">
        <v>374</v>
      </c>
      <c r="B116" s="578" t="s">
        <v>375</v>
      </c>
      <c r="C116" s="583"/>
      <c r="D116" s="588">
        <f>D117</f>
        <v>291</v>
      </c>
    </row>
    <row r="117" spans="1:4" ht="26.25">
      <c r="A117" s="27" t="s">
        <v>277</v>
      </c>
      <c r="B117" s="602"/>
      <c r="C117" s="535" t="s">
        <v>765</v>
      </c>
      <c r="D117" s="592">
        <v>291</v>
      </c>
    </row>
    <row r="118" spans="1:4" ht="13.5">
      <c r="A118" s="473"/>
      <c r="B118" s="603"/>
      <c r="C118" s="473"/>
      <c r="D118" s="473"/>
    </row>
    <row r="119" spans="1:4" ht="13.5">
      <c r="A119" s="473"/>
      <c r="B119" s="603"/>
      <c r="C119" s="473"/>
      <c r="D119" s="473"/>
    </row>
    <row r="120" spans="1:4" ht="13.5">
      <c r="A120" s="473"/>
      <c r="B120" s="603"/>
      <c r="C120" s="473"/>
      <c r="D120" s="473"/>
    </row>
    <row r="121" spans="1:4" ht="13.5">
      <c r="A121" s="473"/>
      <c r="B121" s="603"/>
      <c r="C121" s="473"/>
      <c r="D121" s="473"/>
    </row>
    <row r="122" spans="1:4" ht="13.5">
      <c r="A122" s="473"/>
      <c r="B122" s="603"/>
      <c r="C122" s="473"/>
      <c r="D122" s="473"/>
    </row>
    <row r="123" spans="1:4" ht="13.5">
      <c r="A123" s="473"/>
      <c r="B123" s="603"/>
      <c r="C123" s="473"/>
      <c r="D123" s="473"/>
    </row>
    <row r="124" spans="1:4" ht="13.5">
      <c r="A124" s="473"/>
      <c r="B124" s="603"/>
      <c r="C124" s="473"/>
      <c r="D124" s="473"/>
    </row>
    <row r="125" spans="1:4" ht="13.5">
      <c r="A125" s="473"/>
      <c r="B125" s="603"/>
      <c r="C125" s="473"/>
      <c r="D125" s="473"/>
    </row>
    <row r="126" spans="1:4" ht="13.5">
      <c r="A126" s="473"/>
      <c r="B126" s="603"/>
      <c r="C126" s="473"/>
      <c r="D126" s="473"/>
    </row>
    <row r="127" spans="1:4" ht="13.5">
      <c r="A127" s="473"/>
      <c r="B127" s="603"/>
      <c r="C127" s="473"/>
      <c r="D127" s="473"/>
    </row>
    <row r="128" spans="1:4" ht="13.5">
      <c r="A128" s="473"/>
      <c r="B128" s="603"/>
      <c r="C128" s="473"/>
      <c r="D128" s="473"/>
    </row>
    <row r="129" spans="1:4" ht="13.5">
      <c r="A129" s="473"/>
      <c r="B129" s="603"/>
      <c r="C129" s="473"/>
      <c r="D129" s="473"/>
    </row>
    <row r="130" spans="1:4" ht="13.5">
      <c r="A130" s="473"/>
      <c r="B130" s="603"/>
      <c r="C130" s="473"/>
      <c r="D130" s="473"/>
    </row>
    <row r="131" spans="1:4" ht="13.5">
      <c r="A131" s="473"/>
      <c r="B131" s="603"/>
      <c r="C131" s="473"/>
      <c r="D131" s="473"/>
    </row>
    <row r="132" spans="1:4" ht="13.5">
      <c r="A132" s="473"/>
      <c r="B132" s="603"/>
      <c r="C132" s="473"/>
      <c r="D132" s="473"/>
    </row>
    <row r="133" spans="1:4" ht="13.5">
      <c r="A133" s="473"/>
      <c r="B133" s="603"/>
      <c r="C133" s="473"/>
      <c r="D133" s="473"/>
    </row>
    <row r="134" spans="1:4" ht="13.5">
      <c r="A134" s="473"/>
      <c r="B134" s="603"/>
      <c r="C134" s="473"/>
      <c r="D134" s="473"/>
    </row>
    <row r="135" spans="1:4" ht="13.5">
      <c r="A135" s="473"/>
      <c r="B135" s="603"/>
      <c r="C135" s="473"/>
      <c r="D135" s="473"/>
    </row>
    <row r="136" spans="1:4" ht="13.5">
      <c r="A136" s="473"/>
      <c r="B136" s="603"/>
      <c r="C136" s="473"/>
      <c r="D136" s="473"/>
    </row>
    <row r="137" spans="1:4" ht="13.5">
      <c r="A137" s="473"/>
      <c r="B137" s="603"/>
      <c r="C137" s="473"/>
      <c r="D137" s="473"/>
    </row>
    <row r="138" spans="1:4" ht="13.5">
      <c r="A138" s="473"/>
      <c r="B138" s="603"/>
      <c r="C138" s="473"/>
      <c r="D138" s="473"/>
    </row>
    <row r="139" spans="1:4" ht="13.5">
      <c r="A139" s="473"/>
      <c r="B139" s="603"/>
      <c r="C139" s="473"/>
      <c r="D139" s="473"/>
    </row>
    <row r="140" spans="1:4" ht="13.5">
      <c r="A140" s="473"/>
      <c r="B140" s="603"/>
      <c r="C140" s="473"/>
      <c r="D140" s="473"/>
    </row>
    <row r="141" spans="1:4" ht="13.5">
      <c r="A141" s="473"/>
      <c r="B141" s="603"/>
      <c r="C141" s="473"/>
      <c r="D141" s="473"/>
    </row>
    <row r="142" spans="1:4" ht="13.5">
      <c r="A142" s="473"/>
      <c r="B142" s="603"/>
      <c r="C142" s="473"/>
      <c r="D142" s="473"/>
    </row>
    <row r="143" spans="1:4" ht="13.5">
      <c r="A143" s="473"/>
      <c r="B143" s="603"/>
      <c r="C143" s="473"/>
      <c r="D143" s="473"/>
    </row>
    <row r="144" spans="1:4" ht="13.5">
      <c r="A144" s="473"/>
      <c r="B144" s="603"/>
      <c r="C144" s="473"/>
      <c r="D144" s="473"/>
    </row>
    <row r="145" spans="1:4" ht="13.5">
      <c r="A145" s="473"/>
      <c r="B145" s="603"/>
      <c r="C145" s="473"/>
      <c r="D145" s="473"/>
    </row>
    <row r="146" spans="1:4" ht="13.5">
      <c r="A146" s="473"/>
      <c r="B146" s="603"/>
      <c r="C146" s="473"/>
      <c r="D146" s="473"/>
    </row>
    <row r="147" spans="1:4" ht="13.5">
      <c r="A147" s="473"/>
      <c r="B147" s="603"/>
      <c r="C147" s="473"/>
      <c r="D147" s="473"/>
    </row>
    <row r="148" spans="1:4" ht="13.5">
      <c r="A148" s="473"/>
      <c r="B148" s="603"/>
      <c r="C148" s="473"/>
      <c r="D148" s="473"/>
    </row>
    <row r="149" spans="1:4" ht="13.5">
      <c r="A149" s="473"/>
      <c r="B149" s="603"/>
      <c r="C149" s="473"/>
      <c r="D149" s="473"/>
    </row>
    <row r="150" spans="1:4" ht="13.5">
      <c r="A150" s="473"/>
      <c r="B150" s="603"/>
      <c r="C150" s="473"/>
      <c r="D150" s="473"/>
    </row>
    <row r="151" spans="1:4" ht="13.5">
      <c r="A151" s="473"/>
      <c r="B151" s="603"/>
      <c r="C151" s="473"/>
      <c r="D151" s="473"/>
    </row>
    <row r="152" spans="1:4" ht="13.5">
      <c r="A152" s="473"/>
      <c r="B152" s="603"/>
      <c r="C152" s="473"/>
      <c r="D152" s="473"/>
    </row>
    <row r="153" spans="1:4" ht="13.5">
      <c r="A153" s="473"/>
      <c r="B153" s="603"/>
      <c r="C153" s="473"/>
      <c r="D153" s="473"/>
    </row>
    <row r="154" spans="1:4" ht="13.5">
      <c r="A154" s="473"/>
      <c r="B154" s="603"/>
      <c r="C154" s="473"/>
      <c r="D154" s="473"/>
    </row>
    <row r="155" spans="1:4" ht="13.5">
      <c r="A155" s="473"/>
      <c r="B155" s="603"/>
      <c r="C155" s="473"/>
      <c r="D155" s="473"/>
    </row>
    <row r="156" spans="1:4" ht="13.5">
      <c r="A156" s="473"/>
      <c r="B156" s="603"/>
      <c r="C156" s="473"/>
      <c r="D156" s="473"/>
    </row>
    <row r="157" spans="1:4" ht="13.5">
      <c r="A157" s="473"/>
      <c r="B157" s="603"/>
      <c r="C157" s="473"/>
      <c r="D157" s="473"/>
    </row>
    <row r="158" spans="1:4" ht="13.5">
      <c r="A158" s="473"/>
      <c r="B158" s="603"/>
      <c r="C158" s="473"/>
      <c r="D158" s="473"/>
    </row>
    <row r="159" spans="1:4" ht="13.5">
      <c r="A159" s="473"/>
      <c r="B159" s="603"/>
      <c r="C159" s="473"/>
      <c r="D159" s="473"/>
    </row>
    <row r="160" spans="1:4" ht="13.5">
      <c r="A160" s="473"/>
      <c r="B160" s="603"/>
      <c r="C160" s="473"/>
      <c r="D160" s="473"/>
    </row>
    <row r="161" spans="1:4" ht="13.5">
      <c r="A161" s="473"/>
      <c r="B161" s="603"/>
      <c r="C161" s="473"/>
      <c r="D161" s="473"/>
    </row>
    <row r="162" spans="1:4" ht="13.5">
      <c r="A162" s="473"/>
      <c r="B162" s="603"/>
      <c r="C162" s="473"/>
      <c r="D162" s="473"/>
    </row>
    <row r="163" spans="1:4" ht="13.5">
      <c r="A163" s="473"/>
      <c r="B163" s="603"/>
      <c r="C163" s="473"/>
      <c r="D163" s="473"/>
    </row>
    <row r="164" spans="1:4" ht="13.5">
      <c r="A164" s="473"/>
      <c r="B164" s="603"/>
      <c r="C164" s="473"/>
      <c r="D164" s="473"/>
    </row>
    <row r="165" spans="1:4" ht="13.5">
      <c r="A165" s="473"/>
      <c r="B165" s="603"/>
      <c r="C165" s="473"/>
      <c r="D165" s="473"/>
    </row>
    <row r="166" spans="1:4" ht="13.5">
      <c r="A166" s="473"/>
      <c r="B166" s="603"/>
      <c r="C166" s="473"/>
      <c r="D166" s="473"/>
    </row>
    <row r="167" spans="1:4" ht="13.5">
      <c r="A167" s="473"/>
      <c r="B167" s="603"/>
      <c r="C167" s="473"/>
      <c r="D167" s="473"/>
    </row>
    <row r="168" spans="1:4" ht="13.5">
      <c r="A168" s="473"/>
      <c r="B168" s="603"/>
      <c r="C168" s="473"/>
      <c r="D168" s="473"/>
    </row>
    <row r="169" spans="1:4" ht="13.5">
      <c r="A169" s="473"/>
      <c r="B169" s="603"/>
      <c r="C169" s="473"/>
      <c r="D169" s="473"/>
    </row>
    <row r="170" spans="1:4" ht="13.5">
      <c r="A170" s="473"/>
      <c r="B170" s="603"/>
      <c r="C170" s="473"/>
      <c r="D170" s="473"/>
    </row>
    <row r="171" spans="1:4" ht="13.5">
      <c r="A171" s="473"/>
      <c r="B171" s="603"/>
      <c r="C171" s="473"/>
      <c r="D171" s="473"/>
    </row>
    <row r="172" spans="1:4" ht="13.5">
      <c r="A172" s="473"/>
      <c r="B172" s="603"/>
      <c r="C172" s="473"/>
      <c r="D172" s="473"/>
    </row>
    <row r="173" spans="1:4" ht="13.5">
      <c r="A173" s="473"/>
      <c r="B173" s="603"/>
      <c r="C173" s="473"/>
      <c r="D173" s="473"/>
    </row>
    <row r="174" spans="1:4" ht="13.5">
      <c r="A174" s="473"/>
      <c r="B174" s="603"/>
      <c r="C174" s="473"/>
      <c r="D174" s="473"/>
    </row>
    <row r="175" spans="1:4" ht="13.5">
      <c r="A175" s="473"/>
      <c r="B175" s="603"/>
      <c r="C175" s="473"/>
      <c r="D175" s="473"/>
    </row>
    <row r="176" spans="1:4" ht="13.5">
      <c r="A176" s="473"/>
      <c r="B176" s="603"/>
      <c r="C176" s="473"/>
      <c r="D176" s="473"/>
    </row>
    <row r="177" spans="1:4" ht="13.5">
      <c r="A177" s="473"/>
      <c r="B177" s="603"/>
      <c r="C177" s="473"/>
      <c r="D177" s="473"/>
    </row>
    <row r="178" spans="1:4" ht="13.5">
      <c r="A178" s="473"/>
      <c r="B178" s="603"/>
      <c r="C178" s="473"/>
      <c r="D178" s="473"/>
    </row>
    <row r="179" spans="1:4" ht="13.5">
      <c r="A179" s="473"/>
      <c r="B179" s="603"/>
      <c r="C179" s="473"/>
      <c r="D179" s="473"/>
    </row>
    <row r="180" spans="1:4" ht="13.5">
      <c r="A180" s="473"/>
      <c r="B180" s="603"/>
      <c r="C180" s="473"/>
      <c r="D180" s="473"/>
    </row>
    <row r="181" spans="1:4" ht="13.5">
      <c r="A181" s="473"/>
      <c r="B181" s="603"/>
      <c r="C181" s="473"/>
      <c r="D181" s="473"/>
    </row>
    <row r="182" spans="1:4" ht="13.5">
      <c r="A182" s="473"/>
      <c r="B182" s="603"/>
      <c r="C182" s="473"/>
      <c r="D182" s="473"/>
    </row>
    <row r="183" spans="1:4" ht="13.5">
      <c r="A183" s="473"/>
      <c r="B183" s="603"/>
      <c r="C183" s="473"/>
      <c r="D183" s="473"/>
    </row>
    <row r="184" spans="1:4" ht="13.5">
      <c r="A184" s="473"/>
      <c r="B184" s="603"/>
      <c r="C184" s="473"/>
      <c r="D184" s="473"/>
    </row>
    <row r="185" spans="1:4" ht="13.5">
      <c r="A185" s="473"/>
      <c r="B185" s="603"/>
      <c r="C185" s="473"/>
      <c r="D185" s="473"/>
    </row>
    <row r="186" spans="1:4" ht="13.5">
      <c r="A186" s="473"/>
      <c r="B186" s="603"/>
      <c r="C186" s="473"/>
      <c r="D186" s="473"/>
    </row>
    <row r="187" spans="1:4" ht="13.5">
      <c r="A187" s="473"/>
      <c r="B187" s="603"/>
      <c r="C187" s="473"/>
      <c r="D187" s="473"/>
    </row>
    <row r="188" spans="1:4" ht="13.5">
      <c r="A188" s="473"/>
      <c r="B188" s="603"/>
      <c r="C188" s="473"/>
      <c r="D188" s="473"/>
    </row>
    <row r="189" spans="1:4" ht="13.5">
      <c r="A189" s="473"/>
      <c r="B189" s="603"/>
      <c r="C189" s="473"/>
      <c r="D189" s="473"/>
    </row>
    <row r="190" spans="1:4" ht="13.5">
      <c r="A190" s="473"/>
      <c r="B190" s="603"/>
      <c r="C190" s="473"/>
      <c r="D190" s="473"/>
    </row>
    <row r="191" spans="1:4" ht="13.5">
      <c r="A191" s="473"/>
      <c r="B191" s="473"/>
      <c r="C191" s="473"/>
      <c r="D191" s="473"/>
    </row>
    <row r="192" spans="1:4" ht="13.5">
      <c r="A192" s="473"/>
      <c r="B192" s="473"/>
      <c r="C192" s="473"/>
      <c r="D192" s="473"/>
    </row>
    <row r="193" spans="1:4" ht="13.5">
      <c r="A193" s="473"/>
      <c r="B193" s="473"/>
      <c r="C193" s="473"/>
      <c r="D193" s="473"/>
    </row>
    <row r="194" spans="1:4" ht="13.5">
      <c r="A194" s="473"/>
      <c r="B194" s="473"/>
      <c r="C194" s="473"/>
      <c r="D194" s="473"/>
    </row>
    <row r="195" spans="1:4" ht="13.5">
      <c r="A195" s="473"/>
      <c r="B195" s="473"/>
      <c r="C195" s="473"/>
      <c r="D195" s="473"/>
    </row>
    <row r="196" spans="1:4" ht="13.5">
      <c r="A196" s="473"/>
      <c r="B196" s="473"/>
      <c r="C196" s="473"/>
      <c r="D196" s="473"/>
    </row>
    <row r="197" spans="1:4" ht="13.5">
      <c r="A197" s="473"/>
      <c r="B197" s="473"/>
      <c r="C197" s="473"/>
      <c r="D197" s="473"/>
    </row>
    <row r="198" spans="1:4" ht="13.5">
      <c r="A198" s="473"/>
      <c r="B198" s="473"/>
      <c r="C198" s="473"/>
      <c r="D198" s="473"/>
    </row>
    <row r="199" spans="1:4" ht="13.5">
      <c r="A199" s="473"/>
      <c r="B199" s="473"/>
      <c r="C199" s="473"/>
      <c r="D199" s="473"/>
    </row>
    <row r="200" spans="1:4" ht="13.5">
      <c r="A200" s="473"/>
      <c r="B200" s="473"/>
      <c r="C200" s="473"/>
      <c r="D200" s="473"/>
    </row>
    <row r="201" spans="1:4" ht="13.5">
      <c r="A201" s="473"/>
      <c r="B201" s="473"/>
      <c r="C201" s="473"/>
      <c r="D201" s="473"/>
    </row>
    <row r="202" spans="1:4" ht="13.5">
      <c r="A202" s="473"/>
      <c r="B202" s="473"/>
      <c r="C202" s="473"/>
      <c r="D202" s="473"/>
    </row>
    <row r="203" spans="1:4" ht="13.5">
      <c r="A203" s="473"/>
      <c r="B203" s="473"/>
      <c r="C203" s="473"/>
      <c r="D203" s="473"/>
    </row>
    <row r="204" spans="1:4" ht="13.5">
      <c r="A204" s="473"/>
      <c r="B204" s="473"/>
      <c r="C204" s="473"/>
      <c r="D204" s="473"/>
    </row>
    <row r="205" spans="1:4" ht="13.5">
      <c r="A205" s="473"/>
      <c r="B205" s="473"/>
      <c r="C205" s="473"/>
      <c r="D205" s="473"/>
    </row>
    <row r="206" spans="1:4" ht="13.5">
      <c r="A206" s="473"/>
      <c r="B206" s="473"/>
      <c r="C206" s="473"/>
      <c r="D206" s="473"/>
    </row>
    <row r="207" spans="1:4" ht="13.5">
      <c r="A207" s="473"/>
      <c r="B207" s="473"/>
      <c r="C207" s="473"/>
      <c r="D207" s="473"/>
    </row>
    <row r="208" spans="1:4" ht="13.5">
      <c r="A208" s="473"/>
      <c r="B208" s="473"/>
      <c r="C208" s="473"/>
      <c r="D208" s="473"/>
    </row>
    <row r="209" spans="1:4" ht="13.5">
      <c r="A209" s="473"/>
      <c r="B209" s="473"/>
      <c r="C209" s="473"/>
      <c r="D209" s="473"/>
    </row>
    <row r="210" spans="1:4" ht="13.5">
      <c r="A210" s="473"/>
      <c r="B210" s="473"/>
      <c r="C210" s="473"/>
      <c r="D210" s="473"/>
    </row>
    <row r="211" spans="1:4" ht="13.5">
      <c r="A211" s="473"/>
      <c r="B211" s="473"/>
      <c r="C211" s="473"/>
      <c r="D211" s="473"/>
    </row>
    <row r="212" spans="1:4" ht="13.5">
      <c r="A212" s="473"/>
      <c r="B212" s="473"/>
      <c r="C212" s="473"/>
      <c r="D212" s="473"/>
    </row>
    <row r="213" spans="1:4" ht="13.5">
      <c r="A213" s="473"/>
      <c r="B213" s="473"/>
      <c r="C213" s="473"/>
      <c r="D213" s="473"/>
    </row>
    <row r="214" spans="1:4" ht="13.5">
      <c r="A214" s="473"/>
      <c r="B214" s="473"/>
      <c r="C214" s="473"/>
      <c r="D214" s="473"/>
    </row>
    <row r="215" spans="1:4" ht="13.5">
      <c r="A215" s="473"/>
      <c r="B215" s="473"/>
      <c r="C215" s="473"/>
      <c r="D215" s="473"/>
    </row>
    <row r="216" spans="1:4" ht="13.5">
      <c r="A216" s="473"/>
      <c r="B216" s="473"/>
      <c r="C216" s="473"/>
      <c r="D216" s="473"/>
    </row>
    <row r="217" spans="1:4" ht="13.5">
      <c r="A217" s="473"/>
      <c r="B217" s="473"/>
      <c r="C217" s="473"/>
      <c r="D217" s="473"/>
    </row>
    <row r="218" spans="1:4" ht="13.5">
      <c r="A218" s="473"/>
      <c r="B218" s="473"/>
      <c r="C218" s="473"/>
      <c r="D218" s="473"/>
    </row>
    <row r="219" spans="1:4" ht="13.5">
      <c r="A219" s="473"/>
      <c r="B219" s="473"/>
      <c r="C219" s="473"/>
      <c r="D219" s="473"/>
    </row>
    <row r="220" spans="1:4" ht="13.5">
      <c r="A220" s="473"/>
      <c r="B220" s="473"/>
      <c r="C220" s="473"/>
      <c r="D220" s="473"/>
    </row>
    <row r="221" spans="1:4" ht="13.5">
      <c r="A221" s="473"/>
      <c r="B221" s="473"/>
      <c r="C221" s="473"/>
      <c r="D221" s="473"/>
    </row>
    <row r="222" spans="1:4" ht="13.5">
      <c r="A222" s="473"/>
      <c r="B222" s="473"/>
      <c r="C222" s="473"/>
      <c r="D222" s="473"/>
    </row>
    <row r="223" spans="1:4" ht="13.5">
      <c r="A223" s="473"/>
      <c r="B223" s="473"/>
      <c r="C223" s="473"/>
      <c r="D223" s="473"/>
    </row>
    <row r="224" spans="1:4" ht="13.5">
      <c r="A224" s="473"/>
      <c r="B224" s="473"/>
      <c r="C224" s="473"/>
      <c r="D224" s="473"/>
    </row>
    <row r="225" spans="1:4" ht="13.5">
      <c r="A225" s="473"/>
      <c r="B225" s="473"/>
      <c r="C225" s="473"/>
      <c r="D225" s="473"/>
    </row>
    <row r="226" spans="1:4" ht="13.5">
      <c r="A226" s="473"/>
      <c r="B226" s="473"/>
      <c r="C226" s="473"/>
      <c r="D226" s="473"/>
    </row>
    <row r="227" spans="1:256" ht="13.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58"/>
      <c r="IC227" s="58"/>
      <c r="ID227" s="58"/>
      <c r="IE227" s="58"/>
      <c r="IF227" s="58"/>
      <c r="IG227" s="58"/>
      <c r="IH227" s="58"/>
      <c r="II227" s="58"/>
      <c r="IJ227" s="58"/>
      <c r="IK227" s="58"/>
      <c r="IL227" s="58"/>
      <c r="IM227" s="58"/>
      <c r="IN227" s="58"/>
      <c r="IO227" s="58"/>
      <c r="IP227" s="58"/>
      <c r="IQ227" s="58"/>
      <c r="IR227" s="58"/>
      <c r="IS227" s="58"/>
      <c r="IT227" s="58"/>
      <c r="IU227" s="58"/>
      <c r="IV227" s="58"/>
    </row>
    <row r="228" spans="1:256" ht="13.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8"/>
      <c r="FY228" s="58"/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8"/>
      <c r="HB228" s="58"/>
      <c r="HC228" s="58"/>
      <c r="HD228" s="58"/>
      <c r="HE228" s="58"/>
      <c r="HF228" s="58"/>
      <c r="HG228" s="58"/>
      <c r="HH228" s="58"/>
      <c r="HI228" s="58"/>
      <c r="HJ228" s="58"/>
      <c r="HK228" s="58"/>
      <c r="HL228" s="58"/>
      <c r="HM228" s="58"/>
      <c r="HN228" s="58"/>
      <c r="HO228" s="58"/>
      <c r="HP228" s="58"/>
      <c r="HQ228" s="58"/>
      <c r="HR228" s="58"/>
      <c r="HS228" s="58"/>
      <c r="HT228" s="58"/>
      <c r="HU228" s="58"/>
      <c r="HV228" s="58"/>
      <c r="HW228" s="58"/>
      <c r="HX228" s="58"/>
      <c r="HY228" s="58"/>
      <c r="HZ228" s="58"/>
      <c r="IA228" s="58"/>
      <c r="IB228" s="58"/>
      <c r="IC228" s="58"/>
      <c r="ID228" s="58"/>
      <c r="IE228" s="58"/>
      <c r="IF228" s="58"/>
      <c r="IG228" s="58"/>
      <c r="IH228" s="58"/>
      <c r="II228" s="58"/>
      <c r="IJ228" s="58"/>
      <c r="IK228" s="58"/>
      <c r="IL228" s="58"/>
      <c r="IM228" s="58"/>
      <c r="IN228" s="58"/>
      <c r="IO228" s="58"/>
      <c r="IP228" s="58"/>
      <c r="IQ228" s="58"/>
      <c r="IR228" s="58"/>
      <c r="IS228" s="58"/>
      <c r="IT228" s="58"/>
      <c r="IU228" s="58"/>
      <c r="IV228" s="58"/>
    </row>
    <row r="229" spans="1:256" ht="13.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  <c r="GD229" s="58"/>
      <c r="GE229" s="58"/>
      <c r="GF229" s="58"/>
      <c r="GG229" s="58"/>
      <c r="GH229" s="58"/>
      <c r="GI229" s="58"/>
      <c r="GJ229" s="58"/>
      <c r="GK229" s="58"/>
      <c r="GL229" s="58"/>
      <c r="GM229" s="58"/>
      <c r="GN229" s="58"/>
      <c r="GO229" s="58"/>
      <c r="GP229" s="58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8"/>
      <c r="HB229" s="58"/>
      <c r="HC229" s="58"/>
      <c r="HD229" s="58"/>
      <c r="HE229" s="58"/>
      <c r="HF229" s="58"/>
      <c r="HG229" s="58"/>
      <c r="HH229" s="58"/>
      <c r="HI229" s="58"/>
      <c r="HJ229" s="58"/>
      <c r="HK229" s="58"/>
      <c r="HL229" s="58"/>
      <c r="HM229" s="58"/>
      <c r="HN229" s="58"/>
      <c r="HO229" s="58"/>
      <c r="HP229" s="58"/>
      <c r="HQ229" s="58"/>
      <c r="HR229" s="58"/>
      <c r="HS229" s="58"/>
      <c r="HT229" s="58"/>
      <c r="HU229" s="58"/>
      <c r="HV229" s="58"/>
      <c r="HW229" s="58"/>
      <c r="HX229" s="58"/>
      <c r="HY229" s="58"/>
      <c r="HZ229" s="58"/>
      <c r="IA229" s="58"/>
      <c r="IB229" s="58"/>
      <c r="IC229" s="58"/>
      <c r="ID229" s="58"/>
      <c r="IE229" s="58"/>
      <c r="IF229" s="58"/>
      <c r="IG229" s="58"/>
      <c r="IH229" s="58"/>
      <c r="II229" s="58"/>
      <c r="IJ229" s="58"/>
      <c r="IK229" s="58"/>
      <c r="IL229" s="58"/>
      <c r="IM229" s="58"/>
      <c r="IN229" s="58"/>
      <c r="IO229" s="58"/>
      <c r="IP229" s="58"/>
      <c r="IQ229" s="58"/>
      <c r="IR229" s="58"/>
      <c r="IS229" s="58"/>
      <c r="IT229" s="58"/>
      <c r="IU229" s="58"/>
      <c r="IV229" s="58"/>
    </row>
    <row r="230" spans="1:256" ht="13.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  <c r="HI230" s="58"/>
      <c r="HJ230" s="58"/>
      <c r="HK230" s="58"/>
      <c r="HL230" s="58"/>
      <c r="HM230" s="58"/>
      <c r="HN230" s="58"/>
      <c r="HO230" s="58"/>
      <c r="HP230" s="58"/>
      <c r="HQ230" s="58"/>
      <c r="HR230" s="58"/>
      <c r="HS230" s="58"/>
      <c r="HT230" s="58"/>
      <c r="HU230" s="58"/>
      <c r="HV230" s="58"/>
      <c r="HW230" s="58"/>
      <c r="HX230" s="58"/>
      <c r="HY230" s="58"/>
      <c r="HZ230" s="58"/>
      <c r="IA230" s="58"/>
      <c r="IB230" s="58"/>
      <c r="IC230" s="58"/>
      <c r="ID230" s="58"/>
      <c r="IE230" s="58"/>
      <c r="IF230" s="58"/>
      <c r="IG230" s="58"/>
      <c r="IH230" s="58"/>
      <c r="II230" s="58"/>
      <c r="IJ230" s="58"/>
      <c r="IK230" s="58"/>
      <c r="IL230" s="58"/>
      <c r="IM230" s="58"/>
      <c r="IN230" s="58"/>
      <c r="IO230" s="58"/>
      <c r="IP230" s="58"/>
      <c r="IQ230" s="58"/>
      <c r="IR230" s="58"/>
      <c r="IS230" s="58"/>
      <c r="IT230" s="58"/>
      <c r="IU230" s="58"/>
      <c r="IV230" s="58"/>
    </row>
    <row r="231" spans="1:256" ht="13.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8"/>
      <c r="FZ231" s="58"/>
      <c r="GA231" s="58"/>
      <c r="GB231" s="58"/>
      <c r="GC231" s="58"/>
      <c r="GD231" s="58"/>
      <c r="GE231" s="58"/>
      <c r="GF231" s="58"/>
      <c r="GG231" s="58"/>
      <c r="GH231" s="58"/>
      <c r="GI231" s="58"/>
      <c r="GJ231" s="58"/>
      <c r="GK231" s="58"/>
      <c r="GL231" s="58"/>
      <c r="GM231" s="58"/>
      <c r="GN231" s="58"/>
      <c r="GO231" s="58"/>
      <c r="GP231" s="58"/>
      <c r="GQ231" s="58"/>
      <c r="GR231" s="58"/>
      <c r="GS231" s="58"/>
      <c r="GT231" s="58"/>
      <c r="GU231" s="58"/>
      <c r="GV231" s="58"/>
      <c r="GW231" s="58"/>
      <c r="GX231" s="58"/>
      <c r="GY231" s="58"/>
      <c r="GZ231" s="58"/>
      <c r="HA231" s="58"/>
      <c r="HB231" s="58"/>
      <c r="HC231" s="58"/>
      <c r="HD231" s="58"/>
      <c r="HE231" s="58"/>
      <c r="HF231" s="58"/>
      <c r="HG231" s="58"/>
      <c r="HH231" s="58"/>
      <c r="HI231" s="58"/>
      <c r="HJ231" s="58"/>
      <c r="HK231" s="58"/>
      <c r="HL231" s="58"/>
      <c r="HM231" s="58"/>
      <c r="HN231" s="58"/>
      <c r="HO231" s="58"/>
      <c r="HP231" s="58"/>
      <c r="HQ231" s="58"/>
      <c r="HR231" s="58"/>
      <c r="HS231" s="58"/>
      <c r="HT231" s="58"/>
      <c r="HU231" s="58"/>
      <c r="HV231" s="58"/>
      <c r="HW231" s="58"/>
      <c r="HX231" s="58"/>
      <c r="HY231" s="58"/>
      <c r="HZ231" s="58"/>
      <c r="IA231" s="58"/>
      <c r="IB231" s="58"/>
      <c r="IC231" s="58"/>
      <c r="ID231" s="58"/>
      <c r="IE231" s="58"/>
      <c r="IF231" s="58"/>
      <c r="IG231" s="58"/>
      <c r="IH231" s="58"/>
      <c r="II231" s="58"/>
      <c r="IJ231" s="58"/>
      <c r="IK231" s="58"/>
      <c r="IL231" s="58"/>
      <c r="IM231" s="58"/>
      <c r="IN231" s="58"/>
      <c r="IO231" s="58"/>
      <c r="IP231" s="58"/>
      <c r="IQ231" s="58"/>
      <c r="IR231" s="58"/>
      <c r="IS231" s="58"/>
      <c r="IT231" s="58"/>
      <c r="IU231" s="58"/>
      <c r="IV231" s="58"/>
    </row>
    <row r="232" spans="1:256" ht="13.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8"/>
      <c r="FD232" s="58"/>
      <c r="FE232" s="58"/>
      <c r="FF232" s="58"/>
      <c r="FG232" s="58"/>
      <c r="FH232" s="58"/>
      <c r="FI232" s="58"/>
      <c r="FJ232" s="58"/>
      <c r="FK232" s="58"/>
      <c r="FL232" s="58"/>
      <c r="FM232" s="58"/>
      <c r="FN232" s="58"/>
      <c r="FO232" s="58"/>
      <c r="FP232" s="58"/>
      <c r="FQ232" s="58"/>
      <c r="FR232" s="58"/>
      <c r="FS232" s="58"/>
      <c r="FT232" s="58"/>
      <c r="FU232" s="58"/>
      <c r="FV232" s="58"/>
      <c r="FW232" s="58"/>
      <c r="FX232" s="58"/>
      <c r="FY232" s="58"/>
      <c r="FZ232" s="58"/>
      <c r="GA232" s="58"/>
      <c r="GB232" s="58"/>
      <c r="GC232" s="58"/>
      <c r="GD232" s="58"/>
      <c r="GE232" s="58"/>
      <c r="GF232" s="58"/>
      <c r="GG232" s="58"/>
      <c r="GH232" s="58"/>
      <c r="GI232" s="58"/>
      <c r="GJ232" s="58"/>
      <c r="GK232" s="58"/>
      <c r="GL232" s="58"/>
      <c r="GM232" s="58"/>
      <c r="GN232" s="58"/>
      <c r="GO232" s="58"/>
      <c r="GP232" s="58"/>
      <c r="GQ232" s="58"/>
      <c r="GR232" s="58"/>
      <c r="GS232" s="58"/>
      <c r="GT232" s="58"/>
      <c r="GU232" s="58"/>
      <c r="GV232" s="58"/>
      <c r="GW232" s="58"/>
      <c r="GX232" s="58"/>
      <c r="GY232" s="58"/>
      <c r="GZ232" s="58"/>
      <c r="HA232" s="58"/>
      <c r="HB232" s="58"/>
      <c r="HC232" s="58"/>
      <c r="HD232" s="58"/>
      <c r="HE232" s="58"/>
      <c r="HF232" s="58"/>
      <c r="HG232" s="58"/>
      <c r="HH232" s="58"/>
      <c r="HI232" s="58"/>
      <c r="HJ232" s="58"/>
      <c r="HK232" s="58"/>
      <c r="HL232" s="58"/>
      <c r="HM232" s="58"/>
      <c r="HN232" s="58"/>
      <c r="HO232" s="58"/>
      <c r="HP232" s="58"/>
      <c r="HQ232" s="58"/>
      <c r="HR232" s="58"/>
      <c r="HS232" s="58"/>
      <c r="HT232" s="58"/>
      <c r="HU232" s="58"/>
      <c r="HV232" s="58"/>
      <c r="HW232" s="58"/>
      <c r="HX232" s="58"/>
      <c r="HY232" s="58"/>
      <c r="HZ232" s="58"/>
      <c r="IA232" s="58"/>
      <c r="IB232" s="58"/>
      <c r="IC232" s="58"/>
      <c r="ID232" s="58"/>
      <c r="IE232" s="58"/>
      <c r="IF232" s="58"/>
      <c r="IG232" s="58"/>
      <c r="IH232" s="58"/>
      <c r="II232" s="58"/>
      <c r="IJ232" s="58"/>
      <c r="IK232" s="58"/>
      <c r="IL232" s="58"/>
      <c r="IM232" s="58"/>
      <c r="IN232" s="58"/>
      <c r="IO232" s="58"/>
      <c r="IP232" s="58"/>
      <c r="IQ232" s="58"/>
      <c r="IR232" s="58"/>
      <c r="IS232" s="58"/>
      <c r="IT232" s="58"/>
      <c r="IU232" s="58"/>
      <c r="IV232" s="58"/>
    </row>
    <row r="233" spans="1:256" ht="13.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58"/>
      <c r="EY233" s="58"/>
      <c r="EZ233" s="58"/>
      <c r="FA233" s="58"/>
      <c r="FB233" s="58"/>
      <c r="FC233" s="58"/>
      <c r="FD233" s="58"/>
      <c r="FE233" s="58"/>
      <c r="FF233" s="58"/>
      <c r="FG233" s="58"/>
      <c r="FH233" s="58"/>
      <c r="FI233" s="58"/>
      <c r="FJ233" s="58"/>
      <c r="FK233" s="58"/>
      <c r="FL233" s="58"/>
      <c r="FM233" s="58"/>
      <c r="FN233" s="58"/>
      <c r="FO233" s="58"/>
      <c r="FP233" s="58"/>
      <c r="FQ233" s="58"/>
      <c r="FR233" s="58"/>
      <c r="FS233" s="58"/>
      <c r="FT233" s="58"/>
      <c r="FU233" s="58"/>
      <c r="FV233" s="58"/>
      <c r="FW233" s="58"/>
      <c r="FX233" s="58"/>
      <c r="FY233" s="58"/>
      <c r="FZ233" s="58"/>
      <c r="GA233" s="58"/>
      <c r="GB233" s="58"/>
      <c r="GC233" s="58"/>
      <c r="GD233" s="58"/>
      <c r="GE233" s="58"/>
      <c r="GF233" s="58"/>
      <c r="GG233" s="58"/>
      <c r="GH233" s="58"/>
      <c r="GI233" s="58"/>
      <c r="GJ233" s="58"/>
      <c r="GK233" s="58"/>
      <c r="GL233" s="58"/>
      <c r="GM233" s="58"/>
      <c r="GN233" s="58"/>
      <c r="GO233" s="58"/>
      <c r="GP233" s="58"/>
      <c r="GQ233" s="58"/>
      <c r="GR233" s="58"/>
      <c r="GS233" s="58"/>
      <c r="GT233" s="58"/>
      <c r="GU233" s="58"/>
      <c r="GV233" s="58"/>
      <c r="GW233" s="58"/>
      <c r="GX233" s="58"/>
      <c r="GY233" s="58"/>
      <c r="GZ233" s="58"/>
      <c r="HA233" s="58"/>
      <c r="HB233" s="58"/>
      <c r="HC233" s="58"/>
      <c r="HD233" s="58"/>
      <c r="HE233" s="58"/>
      <c r="HF233" s="58"/>
      <c r="HG233" s="58"/>
      <c r="HH233" s="58"/>
      <c r="HI233" s="58"/>
      <c r="HJ233" s="58"/>
      <c r="HK233" s="58"/>
      <c r="HL233" s="58"/>
      <c r="HM233" s="58"/>
      <c r="HN233" s="58"/>
      <c r="HO233" s="58"/>
      <c r="HP233" s="58"/>
      <c r="HQ233" s="58"/>
      <c r="HR233" s="58"/>
      <c r="HS233" s="58"/>
      <c r="HT233" s="58"/>
      <c r="HU233" s="58"/>
      <c r="HV233" s="58"/>
      <c r="HW233" s="58"/>
      <c r="HX233" s="58"/>
      <c r="HY233" s="58"/>
      <c r="HZ233" s="58"/>
      <c r="IA233" s="58"/>
      <c r="IB233" s="58"/>
      <c r="IC233" s="58"/>
      <c r="ID233" s="58"/>
      <c r="IE233" s="58"/>
      <c r="IF233" s="58"/>
      <c r="IG233" s="58"/>
      <c r="IH233" s="58"/>
      <c r="II233" s="58"/>
      <c r="IJ233" s="58"/>
      <c r="IK233" s="58"/>
      <c r="IL233" s="58"/>
      <c r="IM233" s="58"/>
      <c r="IN233" s="58"/>
      <c r="IO233" s="58"/>
      <c r="IP233" s="58"/>
      <c r="IQ233" s="58"/>
      <c r="IR233" s="58"/>
      <c r="IS233" s="58"/>
      <c r="IT233" s="58"/>
      <c r="IU233" s="58"/>
      <c r="IV233" s="58"/>
    </row>
    <row r="234" spans="1:256" ht="13.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  <c r="EN234" s="58"/>
      <c r="EO234" s="58"/>
      <c r="EP234" s="58"/>
      <c r="EQ234" s="58"/>
      <c r="ER234" s="58"/>
      <c r="ES234" s="58"/>
      <c r="ET234" s="58"/>
      <c r="EU234" s="58"/>
      <c r="EV234" s="58"/>
      <c r="EW234" s="58"/>
      <c r="EX234" s="58"/>
      <c r="EY234" s="58"/>
      <c r="EZ234" s="58"/>
      <c r="FA234" s="58"/>
      <c r="FB234" s="58"/>
      <c r="FC234" s="58"/>
      <c r="FD234" s="58"/>
      <c r="FE234" s="58"/>
      <c r="FF234" s="58"/>
      <c r="FG234" s="58"/>
      <c r="FH234" s="58"/>
      <c r="FI234" s="58"/>
      <c r="FJ234" s="58"/>
      <c r="FK234" s="58"/>
      <c r="FL234" s="58"/>
      <c r="FM234" s="58"/>
      <c r="FN234" s="58"/>
      <c r="FO234" s="58"/>
      <c r="FP234" s="58"/>
      <c r="FQ234" s="58"/>
      <c r="FR234" s="58"/>
      <c r="FS234" s="58"/>
      <c r="FT234" s="58"/>
      <c r="FU234" s="58"/>
      <c r="FV234" s="58"/>
      <c r="FW234" s="58"/>
      <c r="FX234" s="58"/>
      <c r="FY234" s="58"/>
      <c r="FZ234" s="58"/>
      <c r="GA234" s="58"/>
      <c r="GB234" s="58"/>
      <c r="GC234" s="58"/>
      <c r="GD234" s="58"/>
      <c r="GE234" s="58"/>
      <c r="GF234" s="58"/>
      <c r="GG234" s="58"/>
      <c r="GH234" s="58"/>
      <c r="GI234" s="58"/>
      <c r="GJ234" s="58"/>
      <c r="GK234" s="58"/>
      <c r="GL234" s="58"/>
      <c r="GM234" s="58"/>
      <c r="GN234" s="58"/>
      <c r="GO234" s="58"/>
      <c r="GP234" s="58"/>
      <c r="GQ234" s="58"/>
      <c r="GR234" s="58"/>
      <c r="GS234" s="58"/>
      <c r="GT234" s="58"/>
      <c r="GU234" s="58"/>
      <c r="GV234" s="58"/>
      <c r="GW234" s="58"/>
      <c r="GX234" s="58"/>
      <c r="GY234" s="58"/>
      <c r="GZ234" s="58"/>
      <c r="HA234" s="58"/>
      <c r="HB234" s="58"/>
      <c r="HC234" s="58"/>
      <c r="HD234" s="58"/>
      <c r="HE234" s="58"/>
      <c r="HF234" s="58"/>
      <c r="HG234" s="58"/>
      <c r="HH234" s="58"/>
      <c r="HI234" s="58"/>
      <c r="HJ234" s="58"/>
      <c r="HK234" s="58"/>
      <c r="HL234" s="58"/>
      <c r="HM234" s="58"/>
      <c r="HN234" s="58"/>
      <c r="HO234" s="58"/>
      <c r="HP234" s="58"/>
      <c r="HQ234" s="58"/>
      <c r="HR234" s="58"/>
      <c r="HS234" s="58"/>
      <c r="HT234" s="58"/>
      <c r="HU234" s="58"/>
      <c r="HV234" s="58"/>
      <c r="HW234" s="58"/>
      <c r="HX234" s="58"/>
      <c r="HY234" s="58"/>
      <c r="HZ234" s="58"/>
      <c r="IA234" s="58"/>
      <c r="IB234" s="58"/>
      <c r="IC234" s="58"/>
      <c r="ID234" s="58"/>
      <c r="IE234" s="58"/>
      <c r="IF234" s="58"/>
      <c r="IG234" s="58"/>
      <c r="IH234" s="58"/>
      <c r="II234" s="58"/>
      <c r="IJ234" s="58"/>
      <c r="IK234" s="58"/>
      <c r="IL234" s="58"/>
      <c r="IM234" s="58"/>
      <c r="IN234" s="58"/>
      <c r="IO234" s="58"/>
      <c r="IP234" s="58"/>
      <c r="IQ234" s="58"/>
      <c r="IR234" s="58"/>
      <c r="IS234" s="58"/>
      <c r="IT234" s="58"/>
      <c r="IU234" s="58"/>
      <c r="IV234" s="58"/>
    </row>
    <row r="235" spans="1:4" ht="13.5">
      <c r="A235" s="473"/>
      <c r="B235" s="473"/>
      <c r="C235" s="473"/>
      <c r="D235" s="473"/>
    </row>
    <row r="236" spans="1:4" ht="13.5">
      <c r="A236" s="473"/>
      <c r="B236" s="473"/>
      <c r="C236" s="473"/>
      <c r="D236" s="473"/>
    </row>
    <row r="237" spans="1:4" ht="13.5">
      <c r="A237" s="473"/>
      <c r="B237" s="473"/>
      <c r="C237" s="473"/>
      <c r="D237" s="473"/>
    </row>
    <row r="238" spans="1:4" ht="13.5">
      <c r="A238" s="473"/>
      <c r="B238" s="473"/>
      <c r="C238" s="473"/>
      <c r="D238" s="473"/>
    </row>
    <row r="239" spans="1:4" ht="13.5">
      <c r="A239" s="473"/>
      <c r="B239" s="473"/>
      <c r="C239" s="473"/>
      <c r="D239" s="473"/>
    </row>
    <row r="240" spans="1:4" ht="13.5">
      <c r="A240" s="473"/>
      <c r="B240" s="473"/>
      <c r="C240" s="473"/>
      <c r="D240" s="473"/>
    </row>
    <row r="241" spans="1:4" ht="13.5">
      <c r="A241" s="473"/>
      <c r="B241" s="473"/>
      <c r="C241" s="473"/>
      <c r="D241" s="473"/>
    </row>
    <row r="242" spans="1:4" ht="13.5">
      <c r="A242" s="473"/>
      <c r="B242" s="473"/>
      <c r="C242" s="473"/>
      <c r="D242" s="473"/>
    </row>
    <row r="243" spans="1:4" ht="13.5">
      <c r="A243" s="473"/>
      <c r="B243" s="473"/>
      <c r="C243" s="473"/>
      <c r="D243" s="473"/>
    </row>
    <row r="244" spans="1:4" ht="13.5">
      <c r="A244" s="473"/>
      <c r="B244" s="473"/>
      <c r="C244" s="473"/>
      <c r="D244" s="473"/>
    </row>
    <row r="245" spans="1:4" ht="13.5">
      <c r="A245" s="473"/>
      <c r="B245" s="473"/>
      <c r="C245" s="473"/>
      <c r="D245" s="473"/>
    </row>
    <row r="246" spans="1:4" ht="13.5">
      <c r="A246" s="473"/>
      <c r="B246" s="473"/>
      <c r="C246" s="473"/>
      <c r="D246" s="473"/>
    </row>
    <row r="247" spans="1:4" ht="13.5">
      <c r="A247" s="473"/>
      <c r="B247" s="473"/>
      <c r="C247" s="473"/>
      <c r="D247" s="473"/>
    </row>
    <row r="248" spans="1:4" ht="13.5">
      <c r="A248" s="473"/>
      <c r="B248" s="473"/>
      <c r="C248" s="473"/>
      <c r="D248" s="473"/>
    </row>
    <row r="249" spans="1:4" ht="13.5">
      <c r="A249" s="473"/>
      <c r="B249" s="473"/>
      <c r="C249" s="473"/>
      <c r="D249" s="473"/>
    </row>
    <row r="250" spans="1:4" ht="13.5">
      <c r="A250" s="473"/>
      <c r="B250" s="473"/>
      <c r="C250" s="473"/>
      <c r="D250" s="473"/>
    </row>
    <row r="251" spans="1:4" ht="13.5">
      <c r="A251" s="473"/>
      <c r="B251" s="473"/>
      <c r="C251" s="473"/>
      <c r="D251" s="473"/>
    </row>
    <row r="252" spans="1:4" ht="13.5">
      <c r="A252" s="473"/>
      <c r="B252" s="473"/>
      <c r="C252" s="473"/>
      <c r="D252" s="473"/>
    </row>
    <row r="253" spans="1:4" ht="13.5">
      <c r="A253" s="473"/>
      <c r="B253" s="473"/>
      <c r="C253" s="473"/>
      <c r="D253" s="473"/>
    </row>
    <row r="254" spans="1:4" ht="13.5">
      <c r="A254" s="473"/>
      <c r="B254" s="473"/>
      <c r="C254" s="473"/>
      <c r="D254" s="473"/>
    </row>
    <row r="255" spans="1:4" ht="13.5">
      <c r="A255" s="473"/>
      <c r="B255" s="473"/>
      <c r="C255" s="473"/>
      <c r="D255" s="473"/>
    </row>
    <row r="256" spans="1:4" ht="13.5">
      <c r="A256" s="473"/>
      <c r="B256" s="473"/>
      <c r="C256" s="473"/>
      <c r="D256" s="473"/>
    </row>
    <row r="257" spans="1:4" ht="13.5">
      <c r="A257" s="473"/>
      <c r="B257" s="473"/>
      <c r="C257" s="473"/>
      <c r="D257" s="473"/>
    </row>
    <row r="258" spans="1:4" ht="13.5">
      <c r="A258" s="473"/>
      <c r="B258" s="473"/>
      <c r="C258" s="473"/>
      <c r="D258" s="473"/>
    </row>
    <row r="259" spans="1:4" ht="13.5">
      <c r="A259" s="473"/>
      <c r="B259" s="473"/>
      <c r="C259" s="473"/>
      <c r="D259" s="473"/>
    </row>
    <row r="260" spans="1:4" ht="13.5">
      <c r="A260" s="473"/>
      <c r="B260" s="473"/>
      <c r="C260" s="473"/>
      <c r="D260" s="473"/>
    </row>
    <row r="261" spans="1:4" ht="13.5">
      <c r="A261" s="473"/>
      <c r="B261" s="473"/>
      <c r="C261" s="473"/>
      <c r="D261" s="473"/>
    </row>
    <row r="262" spans="1:4" ht="13.5">
      <c r="A262" s="473"/>
      <c r="B262" s="473"/>
      <c r="C262" s="473"/>
      <c r="D262" s="473"/>
    </row>
    <row r="263" spans="1:4" ht="13.5">
      <c r="A263" s="473"/>
      <c r="B263" s="473"/>
      <c r="C263" s="473"/>
      <c r="D263" s="473"/>
    </row>
    <row r="264" spans="1:4" ht="13.5">
      <c r="A264" s="473"/>
      <c r="B264" s="473"/>
      <c r="C264" s="473"/>
      <c r="D264" s="473"/>
    </row>
    <row r="265" spans="1:4" ht="13.5">
      <c r="A265" s="473"/>
      <c r="B265" s="473"/>
      <c r="C265" s="473"/>
      <c r="D265" s="473"/>
    </row>
    <row r="266" spans="1:256" ht="13.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58"/>
      <c r="GH266" s="58"/>
      <c r="GI266" s="58"/>
      <c r="GJ266" s="58"/>
      <c r="GK266" s="58"/>
      <c r="GL266" s="58"/>
      <c r="GM266" s="58"/>
      <c r="GN266" s="58"/>
      <c r="GO266" s="58"/>
      <c r="GP266" s="58"/>
      <c r="GQ266" s="58"/>
      <c r="GR266" s="58"/>
      <c r="GS266" s="58"/>
      <c r="GT266" s="58"/>
      <c r="GU266" s="58"/>
      <c r="GV266" s="58"/>
      <c r="GW266" s="58"/>
      <c r="GX266" s="58"/>
      <c r="GY266" s="58"/>
      <c r="GZ266" s="58"/>
      <c r="HA266" s="58"/>
      <c r="HB266" s="58"/>
      <c r="HC266" s="58"/>
      <c r="HD266" s="58"/>
      <c r="HE266" s="58"/>
      <c r="HF266" s="58"/>
      <c r="HG266" s="58"/>
      <c r="HH266" s="58"/>
      <c r="HI266" s="58"/>
      <c r="HJ266" s="58"/>
      <c r="HK266" s="58"/>
      <c r="HL266" s="58"/>
      <c r="HM266" s="58"/>
      <c r="HN266" s="58"/>
      <c r="HO266" s="58"/>
      <c r="HP266" s="58"/>
      <c r="HQ266" s="58"/>
      <c r="HR266" s="58"/>
      <c r="HS266" s="58"/>
      <c r="HT266" s="58"/>
      <c r="HU266" s="58"/>
      <c r="HV266" s="58"/>
      <c r="HW266" s="58"/>
      <c r="HX266" s="58"/>
      <c r="HY266" s="58"/>
      <c r="HZ266" s="58"/>
      <c r="IA266" s="58"/>
      <c r="IB266" s="58"/>
      <c r="IC266" s="58"/>
      <c r="ID266" s="58"/>
      <c r="IE266" s="58"/>
      <c r="IF266" s="58"/>
      <c r="IG266" s="58"/>
      <c r="IH266" s="58"/>
      <c r="II266" s="58"/>
      <c r="IJ266" s="58"/>
      <c r="IK266" s="58"/>
      <c r="IL266" s="58"/>
      <c r="IM266" s="58"/>
      <c r="IN266" s="58"/>
      <c r="IO266" s="58"/>
      <c r="IP266" s="58"/>
      <c r="IQ266" s="58"/>
      <c r="IR266" s="58"/>
      <c r="IS266" s="58"/>
      <c r="IT266" s="58"/>
      <c r="IU266" s="58"/>
      <c r="IV266" s="58"/>
    </row>
    <row r="267" spans="1:256" ht="13.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8"/>
      <c r="FD267" s="58"/>
      <c r="FE267" s="58"/>
      <c r="FF267" s="58"/>
      <c r="FG267" s="58"/>
      <c r="FH267" s="58"/>
      <c r="FI267" s="58"/>
      <c r="FJ267" s="58"/>
      <c r="FK267" s="58"/>
      <c r="FL267" s="58"/>
      <c r="FM267" s="58"/>
      <c r="FN267" s="58"/>
      <c r="FO267" s="58"/>
      <c r="FP267" s="58"/>
      <c r="FQ267" s="58"/>
      <c r="FR267" s="58"/>
      <c r="FS267" s="58"/>
      <c r="FT267" s="58"/>
      <c r="FU267" s="58"/>
      <c r="FV267" s="58"/>
      <c r="FW267" s="58"/>
      <c r="FX267" s="58"/>
      <c r="FY267" s="58"/>
      <c r="FZ267" s="58"/>
      <c r="GA267" s="58"/>
      <c r="GB267" s="58"/>
      <c r="GC267" s="58"/>
      <c r="GD267" s="58"/>
      <c r="GE267" s="58"/>
      <c r="GF267" s="58"/>
      <c r="GG267" s="58"/>
      <c r="GH267" s="58"/>
      <c r="GI267" s="58"/>
      <c r="GJ267" s="58"/>
      <c r="GK267" s="58"/>
      <c r="GL267" s="58"/>
      <c r="GM267" s="58"/>
      <c r="GN267" s="58"/>
      <c r="GO267" s="58"/>
      <c r="GP267" s="58"/>
      <c r="GQ267" s="58"/>
      <c r="GR267" s="58"/>
      <c r="GS267" s="58"/>
      <c r="GT267" s="58"/>
      <c r="GU267" s="58"/>
      <c r="GV267" s="58"/>
      <c r="GW267" s="58"/>
      <c r="GX267" s="58"/>
      <c r="GY267" s="58"/>
      <c r="GZ267" s="58"/>
      <c r="HA267" s="58"/>
      <c r="HB267" s="58"/>
      <c r="HC267" s="58"/>
      <c r="HD267" s="58"/>
      <c r="HE267" s="58"/>
      <c r="HF267" s="58"/>
      <c r="HG267" s="58"/>
      <c r="HH267" s="58"/>
      <c r="HI267" s="58"/>
      <c r="HJ267" s="58"/>
      <c r="HK267" s="58"/>
      <c r="HL267" s="58"/>
      <c r="HM267" s="58"/>
      <c r="HN267" s="58"/>
      <c r="HO267" s="58"/>
      <c r="HP267" s="58"/>
      <c r="HQ267" s="58"/>
      <c r="HR267" s="58"/>
      <c r="HS267" s="58"/>
      <c r="HT267" s="58"/>
      <c r="HU267" s="58"/>
      <c r="HV267" s="58"/>
      <c r="HW267" s="58"/>
      <c r="HX267" s="58"/>
      <c r="HY267" s="58"/>
      <c r="HZ267" s="58"/>
      <c r="IA267" s="58"/>
      <c r="IB267" s="58"/>
      <c r="IC267" s="58"/>
      <c r="ID267" s="58"/>
      <c r="IE267" s="58"/>
      <c r="IF267" s="58"/>
      <c r="IG267" s="58"/>
      <c r="IH267" s="58"/>
      <c r="II267" s="58"/>
      <c r="IJ267" s="58"/>
      <c r="IK267" s="58"/>
      <c r="IL267" s="58"/>
      <c r="IM267" s="58"/>
      <c r="IN267" s="58"/>
      <c r="IO267" s="58"/>
      <c r="IP267" s="58"/>
      <c r="IQ267" s="58"/>
      <c r="IR267" s="58"/>
      <c r="IS267" s="58"/>
      <c r="IT267" s="58"/>
      <c r="IU267" s="58"/>
      <c r="IV267" s="58"/>
    </row>
    <row r="268" spans="1:4" ht="13.5">
      <c r="A268" s="473"/>
      <c r="B268" s="473"/>
      <c r="C268" s="473"/>
      <c r="D268" s="473"/>
    </row>
    <row r="269" spans="1:4" ht="13.5">
      <c r="A269" s="473"/>
      <c r="B269" s="473"/>
      <c r="C269" s="473"/>
      <c r="D269" s="473"/>
    </row>
    <row r="270" spans="1:4" ht="13.5">
      <c r="A270" s="473"/>
      <c r="B270" s="473"/>
      <c r="C270" s="473"/>
      <c r="D270" s="473"/>
    </row>
    <row r="271" spans="1:4" ht="13.5">
      <c r="A271" s="473"/>
      <c r="B271" s="473"/>
      <c r="C271" s="473"/>
      <c r="D271" s="473"/>
    </row>
    <row r="272" spans="1:4" ht="13.5">
      <c r="A272" s="473"/>
      <c r="B272" s="473"/>
      <c r="C272" s="473"/>
      <c r="D272" s="473"/>
    </row>
    <row r="273" spans="1:256" ht="13.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8"/>
      <c r="FD273" s="58"/>
      <c r="FE273" s="58"/>
      <c r="FF273" s="58"/>
      <c r="FG273" s="58"/>
      <c r="FH273" s="58"/>
      <c r="FI273" s="58"/>
      <c r="FJ273" s="58"/>
      <c r="FK273" s="58"/>
      <c r="FL273" s="58"/>
      <c r="FM273" s="58"/>
      <c r="FN273" s="58"/>
      <c r="FO273" s="58"/>
      <c r="FP273" s="58"/>
      <c r="FQ273" s="58"/>
      <c r="FR273" s="58"/>
      <c r="FS273" s="58"/>
      <c r="FT273" s="58"/>
      <c r="FU273" s="58"/>
      <c r="FV273" s="58"/>
      <c r="FW273" s="58"/>
      <c r="FX273" s="58"/>
      <c r="FY273" s="58"/>
      <c r="FZ273" s="58"/>
      <c r="GA273" s="58"/>
      <c r="GB273" s="58"/>
      <c r="GC273" s="58"/>
      <c r="GD273" s="58"/>
      <c r="GE273" s="58"/>
      <c r="GF273" s="58"/>
      <c r="GG273" s="58"/>
      <c r="GH273" s="58"/>
      <c r="GI273" s="58"/>
      <c r="GJ273" s="58"/>
      <c r="GK273" s="58"/>
      <c r="GL273" s="58"/>
      <c r="GM273" s="58"/>
      <c r="GN273" s="58"/>
      <c r="GO273" s="58"/>
      <c r="GP273" s="58"/>
      <c r="GQ273" s="58"/>
      <c r="GR273" s="58"/>
      <c r="GS273" s="58"/>
      <c r="GT273" s="58"/>
      <c r="GU273" s="58"/>
      <c r="GV273" s="58"/>
      <c r="GW273" s="58"/>
      <c r="GX273" s="58"/>
      <c r="GY273" s="58"/>
      <c r="GZ273" s="58"/>
      <c r="HA273" s="58"/>
      <c r="HB273" s="58"/>
      <c r="HC273" s="58"/>
      <c r="HD273" s="58"/>
      <c r="HE273" s="58"/>
      <c r="HF273" s="58"/>
      <c r="HG273" s="58"/>
      <c r="HH273" s="58"/>
      <c r="HI273" s="58"/>
      <c r="HJ273" s="58"/>
      <c r="HK273" s="58"/>
      <c r="HL273" s="58"/>
      <c r="HM273" s="58"/>
      <c r="HN273" s="58"/>
      <c r="HO273" s="58"/>
      <c r="HP273" s="58"/>
      <c r="HQ273" s="58"/>
      <c r="HR273" s="58"/>
      <c r="HS273" s="58"/>
      <c r="HT273" s="58"/>
      <c r="HU273" s="58"/>
      <c r="HV273" s="58"/>
      <c r="HW273" s="58"/>
      <c r="HX273" s="58"/>
      <c r="HY273" s="58"/>
      <c r="HZ273" s="58"/>
      <c r="IA273" s="58"/>
      <c r="IB273" s="58"/>
      <c r="IC273" s="58"/>
      <c r="ID273" s="58"/>
      <c r="IE273" s="58"/>
      <c r="IF273" s="58"/>
      <c r="IG273" s="58"/>
      <c r="IH273" s="58"/>
      <c r="II273" s="58"/>
      <c r="IJ273" s="58"/>
      <c r="IK273" s="58"/>
      <c r="IL273" s="58"/>
      <c r="IM273" s="58"/>
      <c r="IN273" s="58"/>
      <c r="IO273" s="58"/>
      <c r="IP273" s="58"/>
      <c r="IQ273" s="58"/>
      <c r="IR273" s="58"/>
      <c r="IS273" s="58"/>
      <c r="IT273" s="58"/>
      <c r="IU273" s="58"/>
      <c r="IV273" s="58"/>
    </row>
    <row r="274" spans="1:256" ht="13.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  <c r="FJ274" s="58"/>
      <c r="FK274" s="58"/>
      <c r="FL274" s="58"/>
      <c r="FM274" s="58"/>
      <c r="FN274" s="58"/>
      <c r="FO274" s="58"/>
      <c r="FP274" s="58"/>
      <c r="FQ274" s="58"/>
      <c r="FR274" s="58"/>
      <c r="FS274" s="58"/>
      <c r="FT274" s="58"/>
      <c r="FU274" s="58"/>
      <c r="FV274" s="58"/>
      <c r="FW274" s="58"/>
      <c r="FX274" s="58"/>
      <c r="FY274" s="58"/>
      <c r="FZ274" s="58"/>
      <c r="GA274" s="58"/>
      <c r="GB274" s="58"/>
      <c r="GC274" s="58"/>
      <c r="GD274" s="58"/>
      <c r="GE274" s="58"/>
      <c r="GF274" s="58"/>
      <c r="GG274" s="58"/>
      <c r="GH274" s="58"/>
      <c r="GI274" s="58"/>
      <c r="GJ274" s="58"/>
      <c r="GK274" s="58"/>
      <c r="GL274" s="58"/>
      <c r="GM274" s="58"/>
      <c r="GN274" s="58"/>
      <c r="GO274" s="58"/>
      <c r="GP274" s="58"/>
      <c r="GQ274" s="58"/>
      <c r="GR274" s="58"/>
      <c r="GS274" s="58"/>
      <c r="GT274" s="58"/>
      <c r="GU274" s="58"/>
      <c r="GV274" s="58"/>
      <c r="GW274" s="58"/>
      <c r="GX274" s="58"/>
      <c r="GY274" s="58"/>
      <c r="GZ274" s="58"/>
      <c r="HA274" s="58"/>
      <c r="HB274" s="58"/>
      <c r="HC274" s="58"/>
      <c r="HD274" s="58"/>
      <c r="HE274" s="58"/>
      <c r="HF274" s="58"/>
      <c r="HG274" s="58"/>
      <c r="HH274" s="58"/>
      <c r="HI274" s="58"/>
      <c r="HJ274" s="58"/>
      <c r="HK274" s="58"/>
      <c r="HL274" s="58"/>
      <c r="HM274" s="58"/>
      <c r="HN274" s="58"/>
      <c r="HO274" s="58"/>
      <c r="HP274" s="58"/>
      <c r="HQ274" s="58"/>
      <c r="HR274" s="58"/>
      <c r="HS274" s="58"/>
      <c r="HT274" s="58"/>
      <c r="HU274" s="58"/>
      <c r="HV274" s="58"/>
      <c r="HW274" s="58"/>
      <c r="HX274" s="58"/>
      <c r="HY274" s="58"/>
      <c r="HZ274" s="58"/>
      <c r="IA274" s="58"/>
      <c r="IB274" s="58"/>
      <c r="IC274" s="58"/>
      <c r="ID274" s="58"/>
      <c r="IE274" s="58"/>
      <c r="IF274" s="58"/>
      <c r="IG274" s="58"/>
      <c r="IH274" s="58"/>
      <c r="II274" s="58"/>
      <c r="IJ274" s="58"/>
      <c r="IK274" s="58"/>
      <c r="IL274" s="58"/>
      <c r="IM274" s="58"/>
      <c r="IN274" s="58"/>
      <c r="IO274" s="58"/>
      <c r="IP274" s="58"/>
      <c r="IQ274" s="58"/>
      <c r="IR274" s="58"/>
      <c r="IS274" s="58"/>
      <c r="IT274" s="58"/>
      <c r="IU274" s="58"/>
      <c r="IV274" s="58"/>
    </row>
    <row r="275" spans="1:4" ht="13.5">
      <c r="A275" s="473"/>
      <c r="B275" s="473"/>
      <c r="C275" s="473"/>
      <c r="D275" s="473"/>
    </row>
    <row r="276" spans="1:4" ht="13.5">
      <c r="A276" s="473"/>
      <c r="B276" s="473"/>
      <c r="C276" s="473"/>
      <c r="D276" s="473"/>
    </row>
    <row r="277" spans="1:256" ht="13.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  <c r="EV277" s="58"/>
      <c r="EW277" s="58"/>
      <c r="EX277" s="58"/>
      <c r="EY277" s="58"/>
      <c r="EZ277" s="58"/>
      <c r="FA277" s="58"/>
      <c r="FB277" s="58"/>
      <c r="FC277" s="58"/>
      <c r="FD277" s="58"/>
      <c r="FE277" s="58"/>
      <c r="FF277" s="58"/>
      <c r="FG277" s="58"/>
      <c r="FH277" s="58"/>
      <c r="FI277" s="58"/>
      <c r="FJ277" s="58"/>
      <c r="FK277" s="58"/>
      <c r="FL277" s="58"/>
      <c r="FM277" s="58"/>
      <c r="FN277" s="58"/>
      <c r="FO277" s="58"/>
      <c r="FP277" s="58"/>
      <c r="FQ277" s="58"/>
      <c r="FR277" s="58"/>
      <c r="FS277" s="58"/>
      <c r="FT277" s="58"/>
      <c r="FU277" s="58"/>
      <c r="FV277" s="58"/>
      <c r="FW277" s="58"/>
      <c r="FX277" s="58"/>
      <c r="FY277" s="58"/>
      <c r="FZ277" s="58"/>
      <c r="GA277" s="58"/>
      <c r="GB277" s="58"/>
      <c r="GC277" s="58"/>
      <c r="GD277" s="58"/>
      <c r="GE277" s="58"/>
      <c r="GF277" s="58"/>
      <c r="GG277" s="58"/>
      <c r="GH277" s="58"/>
      <c r="GI277" s="58"/>
      <c r="GJ277" s="58"/>
      <c r="GK277" s="58"/>
      <c r="GL277" s="58"/>
      <c r="GM277" s="58"/>
      <c r="GN277" s="58"/>
      <c r="GO277" s="58"/>
      <c r="GP277" s="58"/>
      <c r="GQ277" s="58"/>
      <c r="GR277" s="58"/>
      <c r="GS277" s="58"/>
      <c r="GT277" s="58"/>
      <c r="GU277" s="58"/>
      <c r="GV277" s="58"/>
      <c r="GW277" s="58"/>
      <c r="GX277" s="58"/>
      <c r="GY277" s="58"/>
      <c r="GZ277" s="58"/>
      <c r="HA277" s="58"/>
      <c r="HB277" s="58"/>
      <c r="HC277" s="58"/>
      <c r="HD277" s="58"/>
      <c r="HE277" s="58"/>
      <c r="HF277" s="58"/>
      <c r="HG277" s="58"/>
      <c r="HH277" s="58"/>
      <c r="HI277" s="58"/>
      <c r="HJ277" s="58"/>
      <c r="HK277" s="58"/>
      <c r="HL277" s="58"/>
      <c r="HM277" s="58"/>
      <c r="HN277" s="58"/>
      <c r="HO277" s="58"/>
      <c r="HP277" s="58"/>
      <c r="HQ277" s="58"/>
      <c r="HR277" s="58"/>
      <c r="HS277" s="58"/>
      <c r="HT277" s="58"/>
      <c r="HU277" s="58"/>
      <c r="HV277" s="58"/>
      <c r="HW277" s="58"/>
      <c r="HX277" s="58"/>
      <c r="HY277" s="58"/>
      <c r="HZ277" s="58"/>
      <c r="IA277" s="58"/>
      <c r="IB277" s="58"/>
      <c r="IC277" s="58"/>
      <c r="ID277" s="58"/>
      <c r="IE277" s="58"/>
      <c r="IF277" s="58"/>
      <c r="IG277" s="58"/>
      <c r="IH277" s="58"/>
      <c r="II277" s="58"/>
      <c r="IJ277" s="58"/>
      <c r="IK277" s="58"/>
      <c r="IL277" s="58"/>
      <c r="IM277" s="58"/>
      <c r="IN277" s="58"/>
      <c r="IO277" s="58"/>
      <c r="IP277" s="58"/>
      <c r="IQ277" s="58"/>
      <c r="IR277" s="58"/>
      <c r="IS277" s="58"/>
      <c r="IT277" s="58"/>
      <c r="IU277" s="58"/>
      <c r="IV277" s="58"/>
    </row>
    <row r="278" spans="1:256" ht="13.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  <c r="FV278" s="58"/>
      <c r="FW278" s="58"/>
      <c r="FX278" s="58"/>
      <c r="FY278" s="58"/>
      <c r="FZ278" s="58"/>
      <c r="GA278" s="58"/>
      <c r="GB278" s="58"/>
      <c r="GC278" s="58"/>
      <c r="GD278" s="58"/>
      <c r="GE278" s="58"/>
      <c r="GF278" s="58"/>
      <c r="GG278" s="58"/>
      <c r="GH278" s="58"/>
      <c r="GI278" s="58"/>
      <c r="GJ278" s="58"/>
      <c r="GK278" s="58"/>
      <c r="GL278" s="58"/>
      <c r="GM278" s="58"/>
      <c r="GN278" s="58"/>
      <c r="GO278" s="58"/>
      <c r="GP278" s="58"/>
      <c r="GQ278" s="58"/>
      <c r="GR278" s="58"/>
      <c r="GS278" s="58"/>
      <c r="GT278" s="58"/>
      <c r="GU278" s="58"/>
      <c r="GV278" s="58"/>
      <c r="GW278" s="58"/>
      <c r="GX278" s="58"/>
      <c r="GY278" s="58"/>
      <c r="GZ278" s="58"/>
      <c r="HA278" s="58"/>
      <c r="HB278" s="58"/>
      <c r="HC278" s="58"/>
      <c r="HD278" s="58"/>
      <c r="HE278" s="58"/>
      <c r="HF278" s="58"/>
      <c r="HG278" s="58"/>
      <c r="HH278" s="58"/>
      <c r="HI278" s="58"/>
      <c r="HJ278" s="58"/>
      <c r="HK278" s="58"/>
      <c r="HL278" s="58"/>
      <c r="HM278" s="58"/>
      <c r="HN278" s="58"/>
      <c r="HO278" s="58"/>
      <c r="HP278" s="58"/>
      <c r="HQ278" s="58"/>
      <c r="HR278" s="58"/>
      <c r="HS278" s="58"/>
      <c r="HT278" s="58"/>
      <c r="HU278" s="58"/>
      <c r="HV278" s="58"/>
      <c r="HW278" s="58"/>
      <c r="HX278" s="58"/>
      <c r="HY278" s="58"/>
      <c r="HZ278" s="58"/>
      <c r="IA278" s="58"/>
      <c r="IB278" s="58"/>
      <c r="IC278" s="58"/>
      <c r="ID278" s="58"/>
      <c r="IE278" s="58"/>
      <c r="IF278" s="58"/>
      <c r="IG278" s="58"/>
      <c r="IH278" s="58"/>
      <c r="II278" s="58"/>
      <c r="IJ278" s="58"/>
      <c r="IK278" s="58"/>
      <c r="IL278" s="58"/>
      <c r="IM278" s="58"/>
      <c r="IN278" s="58"/>
      <c r="IO278" s="58"/>
      <c r="IP278" s="58"/>
      <c r="IQ278" s="58"/>
      <c r="IR278" s="58"/>
      <c r="IS278" s="58"/>
      <c r="IT278" s="58"/>
      <c r="IU278" s="58"/>
      <c r="IV278" s="58"/>
    </row>
    <row r="279" spans="1:4" ht="13.5">
      <c r="A279" s="473"/>
      <c r="B279" s="473"/>
      <c r="C279" s="473"/>
      <c r="D279" s="473"/>
    </row>
    <row r="280" spans="1:4" ht="13.5">
      <c r="A280" s="473"/>
      <c r="B280" s="473"/>
      <c r="C280" s="473"/>
      <c r="D280" s="473"/>
    </row>
    <row r="281" spans="1:4" ht="13.5">
      <c r="A281" s="473"/>
      <c r="B281" s="473"/>
      <c r="C281" s="473"/>
      <c r="D281" s="473"/>
    </row>
    <row r="282" spans="1:4" ht="13.5">
      <c r="A282" s="473"/>
      <c r="B282" s="473"/>
      <c r="C282" s="473"/>
      <c r="D282" s="473"/>
    </row>
    <row r="283" spans="1:4" ht="13.5">
      <c r="A283" s="473"/>
      <c r="B283" s="473"/>
      <c r="C283" s="473"/>
      <c r="D283" s="473"/>
    </row>
    <row r="284" spans="1:4" ht="13.5">
      <c r="A284" s="473"/>
      <c r="B284" s="473"/>
      <c r="C284" s="473"/>
      <c r="D284" s="473"/>
    </row>
    <row r="285" spans="1:4" ht="13.5">
      <c r="A285" s="473"/>
      <c r="B285" s="473"/>
      <c r="C285" s="473"/>
      <c r="D285" s="473"/>
    </row>
    <row r="286" spans="1:4" ht="13.5">
      <c r="A286" s="473"/>
      <c r="B286" s="473"/>
      <c r="C286" s="473"/>
      <c r="D286" s="473"/>
    </row>
    <row r="287" spans="1:4" ht="13.5">
      <c r="A287" s="473"/>
      <c r="B287" s="473"/>
      <c r="C287" s="473"/>
      <c r="D287" s="473"/>
    </row>
    <row r="288" spans="1:4" ht="13.5">
      <c r="A288" s="473"/>
      <c r="B288" s="473"/>
      <c r="C288" s="473"/>
      <c r="D288" s="473"/>
    </row>
    <row r="289" spans="1:4" ht="13.5">
      <c r="A289" s="473"/>
      <c r="B289" s="473"/>
      <c r="C289" s="473"/>
      <c r="D289" s="473"/>
    </row>
  </sheetData>
  <sheetProtection/>
  <mergeCells count="3">
    <mergeCell ref="A5:D5"/>
    <mergeCell ref="A6:D6"/>
    <mergeCell ref="A7:D7"/>
  </mergeCells>
  <dataValidations count="1">
    <dataValidation allowBlank="1" promptTitle="Расчетное значение" prompt="Считается автоматически" sqref="D116 D10:D114"/>
  </dataValidations>
  <printOptions/>
  <pageMargins left="0.75" right="0.75" top="1" bottom="1" header="0.5" footer="0.5"/>
  <pageSetup firstPageNumber="5" useFirstPageNumber="1" fitToHeight="0" fitToWidth="1" horizontalDpi="600" verticalDpi="600" orientation="portrait" paperSize="9" scale="6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7"/>
  <sheetViews>
    <sheetView showGridLines="0" view="pageBreakPreview" zoomScaleSheetLayoutView="100" workbookViewId="0" topLeftCell="A1">
      <selection activeCell="I3" sqref="I3"/>
    </sheetView>
  </sheetViews>
  <sheetFormatPr defaultColWidth="9.50390625" defaultRowHeight="12.75"/>
  <cols>
    <col min="1" max="1" width="35.375" style="5" customWidth="1"/>
    <col min="2" max="3" width="3.50390625" style="6" customWidth="1"/>
    <col min="4" max="4" width="11.50390625" style="6" customWidth="1"/>
    <col min="5" max="5" width="7.625" style="6" customWidth="1"/>
    <col min="6" max="6" width="14.00390625" style="6" customWidth="1"/>
    <col min="7" max="8" width="14.375" style="7" customWidth="1"/>
    <col min="9" max="9" width="14.50390625" style="9" customWidth="1"/>
    <col min="10" max="10" width="16.50390625" style="9" customWidth="1"/>
    <col min="11" max="11" width="17.50390625" style="40" customWidth="1"/>
    <col min="12" max="12" width="15.50390625" style="41" customWidth="1"/>
    <col min="13" max="13" width="6.375" style="40" customWidth="1"/>
    <col min="14" max="14" width="14.00390625" style="40" customWidth="1"/>
    <col min="15" max="15" width="15.50390625" style="40" customWidth="1"/>
    <col min="16" max="23" width="9.50390625" style="40" customWidth="1"/>
    <col min="24" max="16384" width="9.50390625" style="9" customWidth="1"/>
  </cols>
  <sheetData>
    <row r="1" ht="15">
      <c r="I1" s="8" t="s">
        <v>389</v>
      </c>
    </row>
    <row r="2" spans="9:10" ht="15">
      <c r="I2" s="8" t="s">
        <v>772</v>
      </c>
      <c r="J2" s="102"/>
    </row>
    <row r="3" spans="9:10" ht="15">
      <c r="I3" s="57" t="s">
        <v>1736</v>
      </c>
      <c r="J3" s="102"/>
    </row>
    <row r="4" ht="15"/>
    <row r="5" spans="9:10" ht="13.5" customHeight="1">
      <c r="I5" s="79"/>
      <c r="J5" s="57"/>
    </row>
    <row r="6" spans="9:10" ht="18.75" customHeight="1">
      <c r="I6" s="57"/>
      <c r="J6" s="57"/>
    </row>
    <row r="7" spans="1:10" ht="15.75" customHeight="1">
      <c r="A7" s="612" t="s">
        <v>1577</v>
      </c>
      <c r="B7" s="612"/>
      <c r="C7" s="612"/>
      <c r="D7" s="612"/>
      <c r="E7" s="612"/>
      <c r="F7" s="612"/>
      <c r="G7" s="612"/>
      <c r="H7" s="612"/>
      <c r="I7" s="612"/>
      <c r="J7" s="612"/>
    </row>
    <row r="8" spans="1:10" ht="17.25" customHeight="1">
      <c r="A8" s="612" t="s">
        <v>587</v>
      </c>
      <c r="B8" s="612"/>
      <c r="C8" s="612"/>
      <c r="D8" s="612"/>
      <c r="E8" s="612"/>
      <c r="F8" s="612"/>
      <c r="G8" s="612"/>
      <c r="H8" s="612"/>
      <c r="I8" s="612"/>
      <c r="J8" s="612"/>
    </row>
    <row r="9" spans="1:10" ht="12" customHeight="1">
      <c r="A9" s="613" t="s">
        <v>66</v>
      </c>
      <c r="B9" s="613"/>
      <c r="C9" s="613"/>
      <c r="D9" s="613"/>
      <c r="E9" s="613"/>
      <c r="F9" s="613"/>
      <c r="G9" s="613"/>
      <c r="H9" s="613"/>
      <c r="I9" s="613"/>
      <c r="J9" s="613"/>
    </row>
    <row r="10" spans="1:10" ht="17.25" customHeight="1">
      <c r="A10" s="614" t="s">
        <v>67</v>
      </c>
      <c r="B10" s="614"/>
      <c r="C10" s="614"/>
      <c r="D10" s="614"/>
      <c r="E10" s="614"/>
      <c r="F10" s="614"/>
      <c r="G10" s="614"/>
      <c r="H10" s="614"/>
      <c r="I10" s="614"/>
      <c r="J10" s="614"/>
    </row>
    <row r="11" spans="1:10" ht="15.7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</row>
    <row r="12" spans="1:10" ht="12" customHeight="1" thickBot="1">
      <c r="A12" s="9"/>
      <c r="B12" s="10"/>
      <c r="C12" s="10"/>
      <c r="D12" s="10"/>
      <c r="E12" s="10"/>
      <c r="F12" s="10"/>
      <c r="G12" s="10"/>
      <c r="H12" s="10"/>
      <c r="I12" s="10"/>
      <c r="J12" s="11" t="s">
        <v>773</v>
      </c>
    </row>
    <row r="13" spans="1:23" s="12" customFormat="1" ht="30.75" customHeight="1">
      <c r="A13" s="616" t="s">
        <v>116</v>
      </c>
      <c r="B13" s="618" t="s">
        <v>1517</v>
      </c>
      <c r="C13" s="619"/>
      <c r="D13" s="619"/>
      <c r="E13" s="620"/>
      <c r="F13" s="625" t="s">
        <v>1571</v>
      </c>
      <c r="G13" s="621" t="s">
        <v>1572</v>
      </c>
      <c r="H13" s="621" t="s">
        <v>1573</v>
      </c>
      <c r="I13" s="623" t="s">
        <v>1574</v>
      </c>
      <c r="J13" s="624"/>
      <c r="K13" s="42"/>
      <c r="L13" s="4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12" customFormat="1" ht="54.75" customHeight="1" thickBot="1">
      <c r="A14" s="617"/>
      <c r="B14" s="116" t="s">
        <v>1590</v>
      </c>
      <c r="C14" s="116" t="s">
        <v>1591</v>
      </c>
      <c r="D14" s="116" t="s">
        <v>1592</v>
      </c>
      <c r="E14" s="116" t="s">
        <v>1593</v>
      </c>
      <c r="F14" s="626"/>
      <c r="G14" s="622"/>
      <c r="H14" s="622"/>
      <c r="I14" s="117" t="s">
        <v>1575</v>
      </c>
      <c r="J14" s="118" t="s">
        <v>1576</v>
      </c>
      <c r="K14" s="42"/>
      <c r="L14" s="4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15" ht="15.75">
      <c r="A15" s="119" t="s">
        <v>1423</v>
      </c>
      <c r="B15" s="120"/>
      <c r="C15" s="120"/>
      <c r="D15" s="120" t="s">
        <v>1045</v>
      </c>
      <c r="E15" s="120"/>
      <c r="F15" s="121">
        <f>F16+F188+F222+F306+F426+F446+F684+F768+F953+F990+F1007+F1013</f>
        <v>5737961.069999999</v>
      </c>
      <c r="G15" s="121">
        <f>G16+G188+G222+G306+G426+G446+G684+G768+G953+G990+G1007+G1013</f>
        <v>6382699.669999999</v>
      </c>
      <c r="H15" s="121">
        <f>H16+H188+H222+H306+H426+H446+H684+H768+H953+H990+H1007+H1013</f>
        <v>6157021.31</v>
      </c>
      <c r="I15" s="121">
        <f>H15/F15*100</f>
        <v>107.30329528011247</v>
      </c>
      <c r="J15" s="121">
        <f>H15/G15*100</f>
        <v>96.46421778137653</v>
      </c>
      <c r="K15" s="60"/>
      <c r="L15" s="44"/>
      <c r="M15" s="44"/>
      <c r="N15" s="44"/>
      <c r="O15" s="95"/>
    </row>
    <row r="16" spans="1:11" ht="25.5">
      <c r="A16" s="122" t="s">
        <v>481</v>
      </c>
      <c r="B16" s="123" t="s">
        <v>1594</v>
      </c>
      <c r="C16" s="123"/>
      <c r="D16" s="124"/>
      <c r="E16" s="124"/>
      <c r="F16" s="125">
        <f>F17+F22+F34+F74+F92+F99+F103</f>
        <v>416231.19999999995</v>
      </c>
      <c r="G16" s="125">
        <f>G17+G22+G34+G74+G92+G99+G103</f>
        <v>805939.8999999999</v>
      </c>
      <c r="H16" s="125">
        <f>H17+H22+H34+H74+H92+H99+H103</f>
        <v>778143.7000000001</v>
      </c>
      <c r="I16" s="121">
        <f aca="true" t="shared" si="0" ref="I16:I79">H16/F16*100</f>
        <v>186.94987305132344</v>
      </c>
      <c r="J16" s="121">
        <f aca="true" t="shared" si="1" ref="J16:J79">H16/G16*100</f>
        <v>96.55108277924944</v>
      </c>
      <c r="K16" s="80"/>
    </row>
    <row r="17" spans="1:10" ht="36">
      <c r="A17" s="126" t="s">
        <v>1603</v>
      </c>
      <c r="B17" s="124" t="s">
        <v>1594</v>
      </c>
      <c r="C17" s="127" t="s">
        <v>852</v>
      </c>
      <c r="D17" s="124"/>
      <c r="E17" s="124"/>
      <c r="F17" s="128">
        <f aca="true" t="shared" si="2" ref="F17:H20">F18</f>
        <v>3015.5</v>
      </c>
      <c r="G17" s="128">
        <f t="shared" si="2"/>
        <v>3015.5</v>
      </c>
      <c r="H17" s="128">
        <f t="shared" si="2"/>
        <v>2708.7</v>
      </c>
      <c r="I17" s="121">
        <f t="shared" si="0"/>
        <v>89.82589951915104</v>
      </c>
      <c r="J17" s="121">
        <f t="shared" si="1"/>
        <v>89.82589951915104</v>
      </c>
    </row>
    <row r="18" spans="1:10" ht="48">
      <c r="A18" s="129" t="s">
        <v>1616</v>
      </c>
      <c r="B18" s="127" t="s">
        <v>1594</v>
      </c>
      <c r="C18" s="127" t="s">
        <v>852</v>
      </c>
      <c r="D18" s="124" t="s">
        <v>1244</v>
      </c>
      <c r="E18" s="127"/>
      <c r="F18" s="128">
        <f t="shared" si="2"/>
        <v>3015.5</v>
      </c>
      <c r="G18" s="128">
        <f t="shared" si="2"/>
        <v>3015.5</v>
      </c>
      <c r="H18" s="128">
        <f t="shared" si="2"/>
        <v>2708.7</v>
      </c>
      <c r="I18" s="121">
        <f t="shared" si="0"/>
        <v>89.82589951915104</v>
      </c>
      <c r="J18" s="121">
        <f t="shared" si="1"/>
        <v>89.82589951915104</v>
      </c>
    </row>
    <row r="19" spans="1:10" ht="15.75">
      <c r="A19" s="130" t="s">
        <v>770</v>
      </c>
      <c r="B19" s="127" t="s">
        <v>1594</v>
      </c>
      <c r="C19" s="127" t="s">
        <v>852</v>
      </c>
      <c r="D19" s="124" t="s">
        <v>465</v>
      </c>
      <c r="E19" s="127"/>
      <c r="F19" s="128">
        <f t="shared" si="2"/>
        <v>3015.5</v>
      </c>
      <c r="G19" s="128">
        <f t="shared" si="2"/>
        <v>3015.5</v>
      </c>
      <c r="H19" s="128">
        <f t="shared" si="2"/>
        <v>2708.7</v>
      </c>
      <c r="I19" s="121">
        <f t="shared" si="0"/>
        <v>89.82589951915104</v>
      </c>
      <c r="J19" s="121">
        <f t="shared" si="1"/>
        <v>89.82589951915104</v>
      </c>
    </row>
    <row r="20" spans="1:10" ht="72">
      <c r="A20" s="130" t="s">
        <v>1311</v>
      </c>
      <c r="B20" s="127" t="s">
        <v>1594</v>
      </c>
      <c r="C20" s="127" t="s">
        <v>852</v>
      </c>
      <c r="D20" s="124" t="s">
        <v>465</v>
      </c>
      <c r="E20" s="127" t="s">
        <v>1462</v>
      </c>
      <c r="F20" s="128">
        <f t="shared" si="2"/>
        <v>3015.5</v>
      </c>
      <c r="G20" s="128">
        <f t="shared" si="2"/>
        <v>3015.5</v>
      </c>
      <c r="H20" s="128">
        <f t="shared" si="2"/>
        <v>2708.7</v>
      </c>
      <c r="I20" s="121">
        <f t="shared" si="0"/>
        <v>89.82589951915104</v>
      </c>
      <c r="J20" s="121">
        <f t="shared" si="1"/>
        <v>89.82589951915104</v>
      </c>
    </row>
    <row r="21" spans="1:10" ht="24">
      <c r="A21" s="130" t="s">
        <v>1039</v>
      </c>
      <c r="B21" s="127" t="s">
        <v>1594</v>
      </c>
      <c r="C21" s="127" t="s">
        <v>852</v>
      </c>
      <c r="D21" s="124" t="s">
        <v>465</v>
      </c>
      <c r="E21" s="127" t="s">
        <v>1432</v>
      </c>
      <c r="F21" s="131">
        <v>3015.5</v>
      </c>
      <c r="G21" s="131">
        <v>3015.5</v>
      </c>
      <c r="H21" s="131">
        <v>2708.7</v>
      </c>
      <c r="I21" s="121">
        <f t="shared" si="0"/>
        <v>89.82589951915104</v>
      </c>
      <c r="J21" s="121">
        <f t="shared" si="1"/>
        <v>89.82589951915104</v>
      </c>
    </row>
    <row r="22" spans="1:10" ht="48">
      <c r="A22" s="133" t="s">
        <v>1633</v>
      </c>
      <c r="B22" s="124" t="s">
        <v>1594</v>
      </c>
      <c r="C22" s="124" t="s">
        <v>1627</v>
      </c>
      <c r="D22" s="124"/>
      <c r="E22" s="124"/>
      <c r="F22" s="132">
        <f>F23</f>
        <v>19365</v>
      </c>
      <c r="G22" s="132">
        <f>G23</f>
        <v>19365</v>
      </c>
      <c r="H22" s="132">
        <f>H23</f>
        <v>16249.8</v>
      </c>
      <c r="I22" s="121">
        <f t="shared" si="0"/>
        <v>83.9132455460883</v>
      </c>
      <c r="J22" s="121">
        <f t="shared" si="1"/>
        <v>83.9132455460883</v>
      </c>
    </row>
    <row r="23" spans="1:10" ht="48">
      <c r="A23" s="129" t="s">
        <v>1616</v>
      </c>
      <c r="B23" s="124" t="s">
        <v>1594</v>
      </c>
      <c r="C23" s="124" t="s">
        <v>1627</v>
      </c>
      <c r="D23" s="124" t="s">
        <v>1244</v>
      </c>
      <c r="E23" s="124"/>
      <c r="F23" s="132">
        <f>F24+F31</f>
        <v>19365</v>
      </c>
      <c r="G23" s="132">
        <f>G24+G31</f>
        <v>19365</v>
      </c>
      <c r="H23" s="132">
        <f>H24+H31</f>
        <v>16249.8</v>
      </c>
      <c r="I23" s="121">
        <f t="shared" si="0"/>
        <v>83.9132455460883</v>
      </c>
      <c r="J23" s="121">
        <f t="shared" si="1"/>
        <v>83.9132455460883</v>
      </c>
    </row>
    <row r="24" spans="1:10" ht="15.75">
      <c r="A24" s="134" t="s">
        <v>113</v>
      </c>
      <c r="B24" s="124" t="s">
        <v>1634</v>
      </c>
      <c r="C24" s="124" t="s">
        <v>1627</v>
      </c>
      <c r="D24" s="124" t="s">
        <v>466</v>
      </c>
      <c r="E24" s="124"/>
      <c r="F24" s="128">
        <f>F25+F27+F29</f>
        <v>19360.3</v>
      </c>
      <c r="G24" s="128">
        <f>G25+G27+G29</f>
        <v>19360.3</v>
      </c>
      <c r="H24" s="128">
        <f>H25+H27+H29</f>
        <v>16248.3</v>
      </c>
      <c r="I24" s="121">
        <f t="shared" si="0"/>
        <v>83.9258689173205</v>
      </c>
      <c r="J24" s="121">
        <f t="shared" si="1"/>
        <v>83.9258689173205</v>
      </c>
    </row>
    <row r="25" spans="1:10" ht="72">
      <c r="A25" s="130" t="s">
        <v>1311</v>
      </c>
      <c r="B25" s="124" t="s">
        <v>1594</v>
      </c>
      <c r="C25" s="124" t="s">
        <v>1627</v>
      </c>
      <c r="D25" s="124" t="s">
        <v>466</v>
      </c>
      <c r="E25" s="124" t="s">
        <v>1462</v>
      </c>
      <c r="F25" s="128">
        <f>F26</f>
        <v>18910.3</v>
      </c>
      <c r="G25" s="128">
        <f>G26</f>
        <v>18910.3</v>
      </c>
      <c r="H25" s="128">
        <f>H26</f>
        <v>15944</v>
      </c>
      <c r="I25" s="121">
        <f t="shared" si="0"/>
        <v>84.3138395477597</v>
      </c>
      <c r="J25" s="121">
        <f t="shared" si="1"/>
        <v>84.3138395477597</v>
      </c>
    </row>
    <row r="26" spans="1:10" ht="24">
      <c r="A26" s="130" t="s">
        <v>1039</v>
      </c>
      <c r="B26" s="124" t="s">
        <v>1594</v>
      </c>
      <c r="C26" s="124" t="s">
        <v>1627</v>
      </c>
      <c r="D26" s="124" t="s">
        <v>466</v>
      </c>
      <c r="E26" s="124" t="s">
        <v>1432</v>
      </c>
      <c r="F26" s="131">
        <v>18910.3</v>
      </c>
      <c r="G26" s="131">
        <v>18910.3</v>
      </c>
      <c r="H26" s="131">
        <v>15944</v>
      </c>
      <c r="I26" s="121">
        <f t="shared" si="0"/>
        <v>84.3138395477597</v>
      </c>
      <c r="J26" s="121">
        <f t="shared" si="1"/>
        <v>84.3138395477597</v>
      </c>
    </row>
    <row r="27" spans="1:10" ht="24">
      <c r="A27" s="130" t="s">
        <v>1312</v>
      </c>
      <c r="B27" s="124" t="s">
        <v>1594</v>
      </c>
      <c r="C27" s="124" t="s">
        <v>1627</v>
      </c>
      <c r="D27" s="124" t="s">
        <v>466</v>
      </c>
      <c r="E27" s="124" t="s">
        <v>1704</v>
      </c>
      <c r="F27" s="132">
        <f>F28</f>
        <v>350</v>
      </c>
      <c r="G27" s="132">
        <f>G28</f>
        <v>350</v>
      </c>
      <c r="H27" s="132">
        <f>H28</f>
        <v>222.8</v>
      </c>
      <c r="I27" s="121">
        <f t="shared" si="0"/>
        <v>63.65714285714286</v>
      </c>
      <c r="J27" s="121">
        <f t="shared" si="1"/>
        <v>63.65714285714286</v>
      </c>
    </row>
    <row r="28" spans="1:10" ht="24">
      <c r="A28" s="130" t="s">
        <v>621</v>
      </c>
      <c r="B28" s="124" t="s">
        <v>1594</v>
      </c>
      <c r="C28" s="124" t="s">
        <v>1627</v>
      </c>
      <c r="D28" s="124" t="s">
        <v>466</v>
      </c>
      <c r="E28" s="124" t="s">
        <v>1619</v>
      </c>
      <c r="F28" s="135">
        <v>350</v>
      </c>
      <c r="G28" s="135">
        <v>350</v>
      </c>
      <c r="H28" s="135">
        <v>222.8</v>
      </c>
      <c r="I28" s="121">
        <f t="shared" si="0"/>
        <v>63.65714285714286</v>
      </c>
      <c r="J28" s="121">
        <f t="shared" si="1"/>
        <v>63.65714285714286</v>
      </c>
    </row>
    <row r="29" spans="1:10" ht="15.75">
      <c r="A29" s="130" t="s">
        <v>910</v>
      </c>
      <c r="B29" s="124" t="s">
        <v>1594</v>
      </c>
      <c r="C29" s="124" t="s">
        <v>1627</v>
      </c>
      <c r="D29" s="124" t="s">
        <v>466</v>
      </c>
      <c r="E29" s="124" t="s">
        <v>911</v>
      </c>
      <c r="F29" s="132">
        <f>F30</f>
        <v>100</v>
      </c>
      <c r="G29" s="132">
        <f>G30</f>
        <v>100</v>
      </c>
      <c r="H29" s="132">
        <f>H30</f>
        <v>81.5</v>
      </c>
      <c r="I29" s="121">
        <f t="shared" si="0"/>
        <v>81.5</v>
      </c>
      <c r="J29" s="121">
        <f t="shared" si="1"/>
        <v>81.5</v>
      </c>
    </row>
    <row r="30" spans="1:10" ht="15.75">
      <c r="A30" s="130" t="s">
        <v>589</v>
      </c>
      <c r="B30" s="124" t="s">
        <v>1594</v>
      </c>
      <c r="C30" s="124" t="s">
        <v>1627</v>
      </c>
      <c r="D30" s="124" t="s">
        <v>466</v>
      </c>
      <c r="E30" s="124" t="s">
        <v>590</v>
      </c>
      <c r="F30" s="135">
        <v>100</v>
      </c>
      <c r="G30" s="135">
        <v>100</v>
      </c>
      <c r="H30" s="135">
        <v>81.5</v>
      </c>
      <c r="I30" s="121">
        <f t="shared" si="0"/>
        <v>81.5</v>
      </c>
      <c r="J30" s="121">
        <f t="shared" si="1"/>
        <v>81.5</v>
      </c>
    </row>
    <row r="31" spans="1:10" ht="24">
      <c r="A31" s="136" t="s">
        <v>655</v>
      </c>
      <c r="B31" s="124" t="s">
        <v>1594</v>
      </c>
      <c r="C31" s="124" t="s">
        <v>1627</v>
      </c>
      <c r="D31" s="124" t="s">
        <v>467</v>
      </c>
      <c r="E31" s="124"/>
      <c r="F31" s="132">
        <f aca="true" t="shared" si="3" ref="F31:H32">F32</f>
        <v>4.7</v>
      </c>
      <c r="G31" s="132">
        <f t="shared" si="3"/>
        <v>4.7</v>
      </c>
      <c r="H31" s="132">
        <f t="shared" si="3"/>
        <v>1.5</v>
      </c>
      <c r="I31" s="121">
        <f t="shared" si="0"/>
        <v>31.914893617021274</v>
      </c>
      <c r="J31" s="121">
        <f t="shared" si="1"/>
        <v>31.914893617021274</v>
      </c>
    </row>
    <row r="32" spans="1:10" ht="15.75">
      <c r="A32" s="130" t="s">
        <v>910</v>
      </c>
      <c r="B32" s="124" t="s">
        <v>1594</v>
      </c>
      <c r="C32" s="124" t="s">
        <v>1627</v>
      </c>
      <c r="D32" s="124" t="s">
        <v>467</v>
      </c>
      <c r="E32" s="124" t="s">
        <v>911</v>
      </c>
      <c r="F32" s="132">
        <f t="shared" si="3"/>
        <v>4.7</v>
      </c>
      <c r="G32" s="132">
        <f t="shared" si="3"/>
        <v>4.7</v>
      </c>
      <c r="H32" s="132">
        <f t="shared" si="3"/>
        <v>1.5</v>
      </c>
      <c r="I32" s="121">
        <f t="shared" si="0"/>
        <v>31.914893617021274</v>
      </c>
      <c r="J32" s="121">
        <f t="shared" si="1"/>
        <v>31.914893617021274</v>
      </c>
    </row>
    <row r="33" spans="1:10" ht="15.75">
      <c r="A33" s="130" t="s">
        <v>589</v>
      </c>
      <c r="B33" s="124" t="s">
        <v>1594</v>
      </c>
      <c r="C33" s="124" t="s">
        <v>1627</v>
      </c>
      <c r="D33" s="124" t="s">
        <v>467</v>
      </c>
      <c r="E33" s="124" t="s">
        <v>590</v>
      </c>
      <c r="F33" s="135">
        <v>4.7</v>
      </c>
      <c r="G33" s="135">
        <v>4.7</v>
      </c>
      <c r="H33" s="135">
        <v>1.5</v>
      </c>
      <c r="I33" s="121">
        <f t="shared" si="0"/>
        <v>31.914893617021274</v>
      </c>
      <c r="J33" s="121">
        <f t="shared" si="1"/>
        <v>31.914893617021274</v>
      </c>
    </row>
    <row r="34" spans="1:10" ht="48">
      <c r="A34" s="133" t="s">
        <v>743</v>
      </c>
      <c r="B34" s="124" t="s">
        <v>1594</v>
      </c>
      <c r="C34" s="124" t="s">
        <v>1064</v>
      </c>
      <c r="D34" s="124"/>
      <c r="E34" s="124"/>
      <c r="F34" s="132">
        <f>F35</f>
        <v>252662.8</v>
      </c>
      <c r="G34" s="132">
        <f>G35</f>
        <v>254045.8</v>
      </c>
      <c r="H34" s="132">
        <f>H35</f>
        <v>247538.30000000002</v>
      </c>
      <c r="I34" s="121">
        <f t="shared" si="0"/>
        <v>97.97180273471204</v>
      </c>
      <c r="J34" s="121">
        <f t="shared" si="1"/>
        <v>97.43845401104842</v>
      </c>
    </row>
    <row r="35" spans="1:10" ht="24">
      <c r="A35" s="137" t="s">
        <v>1454</v>
      </c>
      <c r="B35" s="124" t="s">
        <v>1594</v>
      </c>
      <c r="C35" s="124" t="s">
        <v>1064</v>
      </c>
      <c r="D35" s="124" t="s">
        <v>123</v>
      </c>
      <c r="E35" s="124"/>
      <c r="F35" s="132">
        <f>F36+F45+F48+F68</f>
        <v>252662.8</v>
      </c>
      <c r="G35" s="132">
        <f>G36+G45+G48+G68</f>
        <v>254045.8</v>
      </c>
      <c r="H35" s="132">
        <f>H36+H45+H48+H68</f>
        <v>247538.30000000002</v>
      </c>
      <c r="I35" s="121">
        <f t="shared" si="0"/>
        <v>97.97180273471204</v>
      </c>
      <c r="J35" s="121">
        <f t="shared" si="1"/>
        <v>97.43845401104842</v>
      </c>
    </row>
    <row r="36" spans="1:10" ht="36">
      <c r="A36" s="129" t="s">
        <v>1355</v>
      </c>
      <c r="B36" s="124" t="s">
        <v>1594</v>
      </c>
      <c r="C36" s="124" t="s">
        <v>1064</v>
      </c>
      <c r="D36" s="124" t="s">
        <v>457</v>
      </c>
      <c r="E36" s="124"/>
      <c r="F36" s="132">
        <f>F37+F39+F42</f>
        <v>12221.8</v>
      </c>
      <c r="G36" s="132">
        <f>G37+G39+G42</f>
        <v>12892.599999999997</v>
      </c>
      <c r="H36" s="132">
        <f>H37+H39+H42</f>
        <v>12539.5</v>
      </c>
      <c r="I36" s="121">
        <f t="shared" si="0"/>
        <v>102.59945343566415</v>
      </c>
      <c r="J36" s="121">
        <f t="shared" si="1"/>
        <v>97.26121961435244</v>
      </c>
    </row>
    <row r="37" spans="1:10" ht="24">
      <c r="A37" s="130" t="s">
        <v>1312</v>
      </c>
      <c r="B37" s="124" t="s">
        <v>1594</v>
      </c>
      <c r="C37" s="124" t="s">
        <v>1064</v>
      </c>
      <c r="D37" s="124" t="s">
        <v>1356</v>
      </c>
      <c r="E37" s="124" t="s">
        <v>1704</v>
      </c>
      <c r="F37" s="132">
        <f>F38</f>
        <v>11427.4</v>
      </c>
      <c r="G37" s="132">
        <f>G38</f>
        <v>12098.199999999997</v>
      </c>
      <c r="H37" s="132">
        <f>H38</f>
        <v>11766.3</v>
      </c>
      <c r="I37" s="121">
        <f t="shared" si="0"/>
        <v>102.96567898209565</v>
      </c>
      <c r="J37" s="121">
        <f t="shared" si="1"/>
        <v>97.25661668677988</v>
      </c>
    </row>
    <row r="38" spans="1:10" ht="24">
      <c r="A38" s="130" t="s">
        <v>621</v>
      </c>
      <c r="B38" s="124" t="s">
        <v>1594</v>
      </c>
      <c r="C38" s="124" t="s">
        <v>1064</v>
      </c>
      <c r="D38" s="124" t="s">
        <v>1356</v>
      </c>
      <c r="E38" s="124" t="s">
        <v>1619</v>
      </c>
      <c r="F38" s="135">
        <f>11427.4</f>
        <v>11427.4</v>
      </c>
      <c r="G38" s="135">
        <f>11427.4+400+30.8+8000+240-8000</f>
        <v>12098.199999999997</v>
      </c>
      <c r="H38" s="135">
        <v>11766.3</v>
      </c>
      <c r="I38" s="121">
        <f t="shared" si="0"/>
        <v>102.96567898209565</v>
      </c>
      <c r="J38" s="121">
        <f t="shared" si="1"/>
        <v>97.25661668677988</v>
      </c>
    </row>
    <row r="39" spans="1:10" ht="60">
      <c r="A39" s="130" t="s">
        <v>489</v>
      </c>
      <c r="B39" s="124" t="s">
        <v>1594</v>
      </c>
      <c r="C39" s="124" t="s">
        <v>1064</v>
      </c>
      <c r="D39" s="124" t="s">
        <v>1365</v>
      </c>
      <c r="E39" s="124"/>
      <c r="F39" s="132">
        <f aca="true" t="shared" si="4" ref="F39:H40">F40</f>
        <v>444.4</v>
      </c>
      <c r="G39" s="132">
        <f t="shared" si="4"/>
        <v>444.4</v>
      </c>
      <c r="H39" s="132">
        <f t="shared" si="4"/>
        <v>423.2</v>
      </c>
      <c r="I39" s="121">
        <f t="shared" si="0"/>
        <v>95.22952295229523</v>
      </c>
      <c r="J39" s="121">
        <f t="shared" si="1"/>
        <v>95.22952295229523</v>
      </c>
    </row>
    <row r="40" spans="1:10" ht="24">
      <c r="A40" s="130" t="s">
        <v>1312</v>
      </c>
      <c r="B40" s="124" t="s">
        <v>1594</v>
      </c>
      <c r="C40" s="124" t="s">
        <v>1064</v>
      </c>
      <c r="D40" s="124" t="s">
        <v>1365</v>
      </c>
      <c r="E40" s="124" t="s">
        <v>1704</v>
      </c>
      <c r="F40" s="132">
        <f t="shared" si="4"/>
        <v>444.4</v>
      </c>
      <c r="G40" s="132">
        <f t="shared" si="4"/>
        <v>444.4</v>
      </c>
      <c r="H40" s="132">
        <f t="shared" si="4"/>
        <v>423.2</v>
      </c>
      <c r="I40" s="121">
        <f t="shared" si="0"/>
        <v>95.22952295229523</v>
      </c>
      <c r="J40" s="121">
        <f t="shared" si="1"/>
        <v>95.22952295229523</v>
      </c>
    </row>
    <row r="41" spans="1:10" ht="24">
      <c r="A41" s="130" t="s">
        <v>621</v>
      </c>
      <c r="B41" s="124" t="s">
        <v>1594</v>
      </c>
      <c r="C41" s="124" t="s">
        <v>1064</v>
      </c>
      <c r="D41" s="124" t="s">
        <v>1365</v>
      </c>
      <c r="E41" s="124" t="s">
        <v>1619</v>
      </c>
      <c r="F41" s="135">
        <v>444.4</v>
      </c>
      <c r="G41" s="135">
        <v>444.4</v>
      </c>
      <c r="H41" s="135">
        <v>423.2</v>
      </c>
      <c r="I41" s="121">
        <f t="shared" si="0"/>
        <v>95.22952295229523</v>
      </c>
      <c r="J41" s="121">
        <f t="shared" si="1"/>
        <v>95.22952295229523</v>
      </c>
    </row>
    <row r="42" spans="1:10" ht="60">
      <c r="A42" s="130" t="s">
        <v>1493</v>
      </c>
      <c r="B42" s="124" t="s">
        <v>1594</v>
      </c>
      <c r="C42" s="124" t="s">
        <v>1064</v>
      </c>
      <c r="D42" s="124" t="s">
        <v>1366</v>
      </c>
      <c r="E42" s="124"/>
      <c r="F42" s="132">
        <f aca="true" t="shared" si="5" ref="F42:H43">F43</f>
        <v>350</v>
      </c>
      <c r="G42" s="132">
        <f t="shared" si="5"/>
        <v>350</v>
      </c>
      <c r="H42" s="132">
        <f t="shared" si="5"/>
        <v>350</v>
      </c>
      <c r="I42" s="121">
        <f t="shared" si="0"/>
        <v>100</v>
      </c>
      <c r="J42" s="121">
        <f t="shared" si="1"/>
        <v>100</v>
      </c>
    </row>
    <row r="43" spans="1:10" ht="24">
      <c r="A43" s="130" t="s">
        <v>1312</v>
      </c>
      <c r="B43" s="124" t="s">
        <v>1594</v>
      </c>
      <c r="C43" s="124" t="s">
        <v>1064</v>
      </c>
      <c r="D43" s="124" t="s">
        <v>1366</v>
      </c>
      <c r="E43" s="124" t="s">
        <v>1704</v>
      </c>
      <c r="F43" s="132">
        <f t="shared" si="5"/>
        <v>350</v>
      </c>
      <c r="G43" s="132">
        <f t="shared" si="5"/>
        <v>350</v>
      </c>
      <c r="H43" s="132">
        <f t="shared" si="5"/>
        <v>350</v>
      </c>
      <c r="I43" s="121">
        <f t="shared" si="0"/>
        <v>100</v>
      </c>
      <c r="J43" s="121">
        <f t="shared" si="1"/>
        <v>100</v>
      </c>
    </row>
    <row r="44" spans="1:10" ht="24">
      <c r="A44" s="130" t="s">
        <v>621</v>
      </c>
      <c r="B44" s="124" t="s">
        <v>1594</v>
      </c>
      <c r="C44" s="124" t="s">
        <v>1064</v>
      </c>
      <c r="D44" s="124" t="s">
        <v>1366</v>
      </c>
      <c r="E44" s="124" t="s">
        <v>1619</v>
      </c>
      <c r="F44" s="135">
        <v>350</v>
      </c>
      <c r="G44" s="135">
        <v>350</v>
      </c>
      <c r="H44" s="135">
        <v>350</v>
      </c>
      <c r="I44" s="121">
        <f t="shared" si="0"/>
        <v>100</v>
      </c>
      <c r="J44" s="121">
        <f t="shared" si="1"/>
        <v>100</v>
      </c>
    </row>
    <row r="45" spans="1:10" ht="36">
      <c r="A45" s="130" t="s">
        <v>1359</v>
      </c>
      <c r="B45" s="124" t="s">
        <v>1594</v>
      </c>
      <c r="C45" s="124" t="s">
        <v>1064</v>
      </c>
      <c r="D45" s="124" t="s">
        <v>1223</v>
      </c>
      <c r="E45" s="124"/>
      <c r="F45" s="132">
        <f aca="true" t="shared" si="6" ref="F45:H46">F46</f>
        <v>500</v>
      </c>
      <c r="G45" s="132">
        <f t="shared" si="6"/>
        <v>500</v>
      </c>
      <c r="H45" s="132">
        <f t="shared" si="6"/>
        <v>183.6</v>
      </c>
      <c r="I45" s="121">
        <f t="shared" si="0"/>
        <v>36.72</v>
      </c>
      <c r="J45" s="121">
        <f t="shared" si="1"/>
        <v>36.72</v>
      </c>
    </row>
    <row r="46" spans="1:10" ht="24">
      <c r="A46" s="130" t="s">
        <v>1312</v>
      </c>
      <c r="B46" s="124" t="s">
        <v>1594</v>
      </c>
      <c r="C46" s="124" t="s">
        <v>1064</v>
      </c>
      <c r="D46" s="124" t="s">
        <v>1360</v>
      </c>
      <c r="E46" s="124" t="s">
        <v>1704</v>
      </c>
      <c r="F46" s="132">
        <f t="shared" si="6"/>
        <v>500</v>
      </c>
      <c r="G46" s="132">
        <f t="shared" si="6"/>
        <v>500</v>
      </c>
      <c r="H46" s="132">
        <f t="shared" si="6"/>
        <v>183.6</v>
      </c>
      <c r="I46" s="121">
        <f t="shared" si="0"/>
        <v>36.72</v>
      </c>
      <c r="J46" s="121">
        <f t="shared" si="1"/>
        <v>36.72</v>
      </c>
    </row>
    <row r="47" spans="1:10" ht="24">
      <c r="A47" s="130" t="s">
        <v>1406</v>
      </c>
      <c r="B47" s="124" t="s">
        <v>1594</v>
      </c>
      <c r="C47" s="124" t="s">
        <v>1064</v>
      </c>
      <c r="D47" s="124" t="s">
        <v>1360</v>
      </c>
      <c r="E47" s="124" t="s">
        <v>1619</v>
      </c>
      <c r="F47" s="135">
        <v>500</v>
      </c>
      <c r="G47" s="135">
        <v>500</v>
      </c>
      <c r="H47" s="135">
        <v>183.6</v>
      </c>
      <c r="I47" s="121">
        <f t="shared" si="0"/>
        <v>36.72</v>
      </c>
      <c r="J47" s="121">
        <f t="shared" si="1"/>
        <v>36.72</v>
      </c>
    </row>
    <row r="48" spans="1:10" ht="36">
      <c r="A48" s="129" t="s">
        <v>1004</v>
      </c>
      <c r="B48" s="124" t="s">
        <v>1594</v>
      </c>
      <c r="C48" s="124" t="s">
        <v>1064</v>
      </c>
      <c r="D48" s="124" t="s">
        <v>1357</v>
      </c>
      <c r="E48" s="124"/>
      <c r="F48" s="132">
        <f>F49+F59+F61+F64+F66</f>
        <v>235105</v>
      </c>
      <c r="G48" s="132">
        <f>G49+G59+G61+G64+G66</f>
        <v>235817.19999999998</v>
      </c>
      <c r="H48" s="132">
        <f>H49+H59+H61+H64+H66</f>
        <v>229979.7</v>
      </c>
      <c r="I48" s="121">
        <f t="shared" si="0"/>
        <v>97.81999532123945</v>
      </c>
      <c r="J48" s="121">
        <f t="shared" si="1"/>
        <v>97.52456563812989</v>
      </c>
    </row>
    <row r="49" spans="1:10" ht="15.75">
      <c r="A49" s="134" t="s">
        <v>113</v>
      </c>
      <c r="B49" s="124" t="s">
        <v>1594</v>
      </c>
      <c r="C49" s="124" t="s">
        <v>1064</v>
      </c>
      <c r="D49" s="124" t="s">
        <v>1361</v>
      </c>
      <c r="E49" s="124"/>
      <c r="F49" s="132">
        <f>F50+F52+F54+F56</f>
        <v>222275.4</v>
      </c>
      <c r="G49" s="132">
        <f>G50+G52+G54+G56</f>
        <v>224987.59999999998</v>
      </c>
      <c r="H49" s="132">
        <f>H50+H52+H54+H56</f>
        <v>219582.2</v>
      </c>
      <c r="I49" s="121">
        <f t="shared" si="0"/>
        <v>98.78834994785748</v>
      </c>
      <c r="J49" s="121">
        <f t="shared" si="1"/>
        <v>97.59746759376962</v>
      </c>
    </row>
    <row r="50" spans="1:10" ht="72">
      <c r="A50" s="130" t="s">
        <v>1311</v>
      </c>
      <c r="B50" s="124" t="s">
        <v>1594</v>
      </c>
      <c r="C50" s="124" t="s">
        <v>1064</v>
      </c>
      <c r="D50" s="124" t="s">
        <v>1361</v>
      </c>
      <c r="E50" s="124" t="s">
        <v>1462</v>
      </c>
      <c r="F50" s="132">
        <f>F51</f>
        <v>198590.9</v>
      </c>
      <c r="G50" s="132">
        <f>G51</f>
        <v>198590.8</v>
      </c>
      <c r="H50" s="132">
        <f>H51</f>
        <v>193981.4</v>
      </c>
      <c r="I50" s="121">
        <f t="shared" si="0"/>
        <v>97.67889666646357</v>
      </c>
      <c r="J50" s="121">
        <f t="shared" si="1"/>
        <v>97.67894585247655</v>
      </c>
    </row>
    <row r="51" spans="1:10" ht="24">
      <c r="A51" s="130" t="s">
        <v>1039</v>
      </c>
      <c r="B51" s="124" t="s">
        <v>1594</v>
      </c>
      <c r="C51" s="124" t="s">
        <v>1064</v>
      </c>
      <c r="D51" s="124" t="s">
        <v>1361</v>
      </c>
      <c r="E51" s="124" t="s">
        <v>1432</v>
      </c>
      <c r="F51" s="135">
        <f>198860.9-270</f>
        <v>198590.9</v>
      </c>
      <c r="G51" s="135">
        <f>198860.8-270</f>
        <v>198590.8</v>
      </c>
      <c r="H51" s="135">
        <v>193981.4</v>
      </c>
      <c r="I51" s="121">
        <f t="shared" si="0"/>
        <v>97.67889666646357</v>
      </c>
      <c r="J51" s="121">
        <f t="shared" si="1"/>
        <v>97.67894585247655</v>
      </c>
    </row>
    <row r="52" spans="1:10" ht="24">
      <c r="A52" s="130" t="s">
        <v>1312</v>
      </c>
      <c r="B52" s="124" t="s">
        <v>1594</v>
      </c>
      <c r="C52" s="124" t="s">
        <v>1064</v>
      </c>
      <c r="D52" s="124" t="s">
        <v>1361</v>
      </c>
      <c r="E52" s="124" t="s">
        <v>1704</v>
      </c>
      <c r="F52" s="132">
        <f>F53</f>
        <v>18150.3</v>
      </c>
      <c r="G52" s="132">
        <f>G53</f>
        <v>19932.500000000004</v>
      </c>
      <c r="H52" s="132">
        <f>H53</f>
        <v>19140.5</v>
      </c>
      <c r="I52" s="121">
        <f t="shared" si="0"/>
        <v>105.45555720842079</v>
      </c>
      <c r="J52" s="121">
        <f t="shared" si="1"/>
        <v>96.02658974037375</v>
      </c>
    </row>
    <row r="53" spans="1:10" ht="24">
      <c r="A53" s="130" t="s">
        <v>1406</v>
      </c>
      <c r="B53" s="124" t="s">
        <v>1594</v>
      </c>
      <c r="C53" s="124" t="s">
        <v>1064</v>
      </c>
      <c r="D53" s="124" t="s">
        <v>1361</v>
      </c>
      <c r="E53" s="124" t="s">
        <v>1619</v>
      </c>
      <c r="F53" s="135">
        <f>18150.3</f>
        <v>18150.3</v>
      </c>
      <c r="G53" s="135">
        <f>18150.4+546.9+300+935.2</f>
        <v>19932.500000000004</v>
      </c>
      <c r="H53" s="135">
        <v>19140.5</v>
      </c>
      <c r="I53" s="121">
        <f t="shared" si="0"/>
        <v>105.45555720842079</v>
      </c>
      <c r="J53" s="121">
        <f t="shared" si="1"/>
        <v>96.02658974037375</v>
      </c>
    </row>
    <row r="54" spans="1:10" ht="15.75">
      <c r="A54" s="130" t="s">
        <v>910</v>
      </c>
      <c r="B54" s="124" t="s">
        <v>1594</v>
      </c>
      <c r="C54" s="124" t="s">
        <v>1064</v>
      </c>
      <c r="D54" s="124" t="s">
        <v>1361</v>
      </c>
      <c r="E54" s="124" t="s">
        <v>911</v>
      </c>
      <c r="F54" s="132">
        <f>F55</f>
        <v>10</v>
      </c>
      <c r="G54" s="132">
        <f>G55</f>
        <v>7</v>
      </c>
      <c r="H54" s="132">
        <f>H55</f>
        <v>3.2</v>
      </c>
      <c r="I54" s="121">
        <f t="shared" si="0"/>
        <v>32</v>
      </c>
      <c r="J54" s="121">
        <f t="shared" si="1"/>
        <v>45.714285714285715</v>
      </c>
    </row>
    <row r="55" spans="1:10" ht="15.75">
      <c r="A55" s="130" t="s">
        <v>589</v>
      </c>
      <c r="B55" s="124" t="s">
        <v>1594</v>
      </c>
      <c r="C55" s="124" t="s">
        <v>1064</v>
      </c>
      <c r="D55" s="124" t="s">
        <v>1361</v>
      </c>
      <c r="E55" s="124" t="s">
        <v>590</v>
      </c>
      <c r="F55" s="135">
        <f>10</f>
        <v>10</v>
      </c>
      <c r="G55" s="135">
        <f>10-3</f>
        <v>7</v>
      </c>
      <c r="H55" s="135">
        <v>3.2</v>
      </c>
      <c r="I55" s="121">
        <f t="shared" si="0"/>
        <v>32</v>
      </c>
      <c r="J55" s="121">
        <f t="shared" si="1"/>
        <v>45.714285714285715</v>
      </c>
    </row>
    <row r="56" spans="1:10" ht="15.75">
      <c r="A56" s="130" t="s">
        <v>910</v>
      </c>
      <c r="B56" s="124" t="s">
        <v>1594</v>
      </c>
      <c r="C56" s="124" t="s">
        <v>1064</v>
      </c>
      <c r="D56" s="124" t="s">
        <v>1362</v>
      </c>
      <c r="E56" s="124" t="s">
        <v>911</v>
      </c>
      <c r="F56" s="132">
        <f>F57</f>
        <v>5524.2</v>
      </c>
      <c r="G56" s="132">
        <f>G57</f>
        <v>6457.3</v>
      </c>
      <c r="H56" s="132">
        <f>H57</f>
        <v>6457.1</v>
      </c>
      <c r="I56" s="121">
        <f t="shared" si="0"/>
        <v>116.88751312407229</v>
      </c>
      <c r="J56" s="121">
        <f t="shared" si="1"/>
        <v>99.99690273024329</v>
      </c>
    </row>
    <row r="57" spans="1:10" ht="15.75">
      <c r="A57" s="130" t="s">
        <v>589</v>
      </c>
      <c r="B57" s="124" t="s">
        <v>1594</v>
      </c>
      <c r="C57" s="124" t="s">
        <v>1064</v>
      </c>
      <c r="D57" s="124" t="s">
        <v>1362</v>
      </c>
      <c r="E57" s="124" t="s">
        <v>590</v>
      </c>
      <c r="F57" s="135">
        <v>5524.2</v>
      </c>
      <c r="G57" s="135">
        <f>5524.3+930+3</f>
        <v>6457.3</v>
      </c>
      <c r="H57" s="135">
        <v>6457.1</v>
      </c>
      <c r="I57" s="121">
        <f t="shared" si="0"/>
        <v>116.88751312407229</v>
      </c>
      <c r="J57" s="121">
        <f t="shared" si="1"/>
        <v>99.99690273024329</v>
      </c>
    </row>
    <row r="58" spans="1:10" ht="60">
      <c r="A58" s="130" t="s">
        <v>489</v>
      </c>
      <c r="B58" s="124" t="s">
        <v>1594</v>
      </c>
      <c r="C58" s="124" t="s">
        <v>1064</v>
      </c>
      <c r="D58" s="124" t="s">
        <v>1363</v>
      </c>
      <c r="E58" s="124"/>
      <c r="F58" s="132">
        <f>F59+F61</f>
        <v>8497.6</v>
      </c>
      <c r="G58" s="132">
        <f>G59+G61</f>
        <v>6497.6</v>
      </c>
      <c r="H58" s="132">
        <f>H59+H61</f>
        <v>6132.2</v>
      </c>
      <c r="I58" s="121">
        <f t="shared" si="0"/>
        <v>72.1639051026172</v>
      </c>
      <c r="J58" s="121">
        <f t="shared" si="1"/>
        <v>94.37638512681605</v>
      </c>
    </row>
    <row r="59" spans="1:10" ht="72">
      <c r="A59" s="130" t="s">
        <v>1311</v>
      </c>
      <c r="B59" s="124" t="s">
        <v>1594</v>
      </c>
      <c r="C59" s="124" t="s">
        <v>1064</v>
      </c>
      <c r="D59" s="124" t="s">
        <v>1363</v>
      </c>
      <c r="E59" s="124" t="s">
        <v>1462</v>
      </c>
      <c r="F59" s="132">
        <f>F60</f>
        <v>5771.1</v>
      </c>
      <c r="G59" s="132">
        <f>G60</f>
        <v>5771.1</v>
      </c>
      <c r="H59" s="132">
        <f>H60</f>
        <v>5747.2</v>
      </c>
      <c r="I59" s="121">
        <f t="shared" si="0"/>
        <v>99.58586751225936</v>
      </c>
      <c r="J59" s="121">
        <f t="shared" si="1"/>
        <v>99.58586751225936</v>
      </c>
    </row>
    <row r="60" spans="1:10" ht="24">
      <c r="A60" s="130" t="s">
        <v>1039</v>
      </c>
      <c r="B60" s="124" t="s">
        <v>1594</v>
      </c>
      <c r="C60" s="124" t="s">
        <v>1064</v>
      </c>
      <c r="D60" s="124" t="s">
        <v>1363</v>
      </c>
      <c r="E60" s="124" t="s">
        <v>1432</v>
      </c>
      <c r="F60" s="135">
        <v>5771.1</v>
      </c>
      <c r="G60" s="135">
        <v>5771.1</v>
      </c>
      <c r="H60" s="135">
        <v>5747.2</v>
      </c>
      <c r="I60" s="121">
        <f t="shared" si="0"/>
        <v>99.58586751225936</v>
      </c>
      <c r="J60" s="121">
        <f t="shared" si="1"/>
        <v>99.58586751225936</v>
      </c>
    </row>
    <row r="61" spans="1:10" ht="24">
      <c r="A61" s="130" t="s">
        <v>1312</v>
      </c>
      <c r="B61" s="124" t="s">
        <v>1594</v>
      </c>
      <c r="C61" s="124" t="s">
        <v>1064</v>
      </c>
      <c r="D61" s="124" t="s">
        <v>1363</v>
      </c>
      <c r="E61" s="124" t="s">
        <v>1704</v>
      </c>
      <c r="F61" s="132">
        <f>F62</f>
        <v>2726.5</v>
      </c>
      <c r="G61" s="132">
        <f>G62</f>
        <v>726.5</v>
      </c>
      <c r="H61" s="132">
        <f>H62</f>
        <v>385</v>
      </c>
      <c r="I61" s="121">
        <f t="shared" si="0"/>
        <v>14.120667522464696</v>
      </c>
      <c r="J61" s="121">
        <f t="shared" si="1"/>
        <v>52.993805918788716</v>
      </c>
    </row>
    <row r="62" spans="1:10" ht="24">
      <c r="A62" s="130" t="s">
        <v>1406</v>
      </c>
      <c r="B62" s="124" t="s">
        <v>1594</v>
      </c>
      <c r="C62" s="124" t="s">
        <v>1064</v>
      </c>
      <c r="D62" s="124" t="s">
        <v>1363</v>
      </c>
      <c r="E62" s="124" t="s">
        <v>1619</v>
      </c>
      <c r="F62" s="135">
        <v>2726.5</v>
      </c>
      <c r="G62" s="135">
        <v>726.5</v>
      </c>
      <c r="H62" s="135">
        <v>385</v>
      </c>
      <c r="I62" s="121">
        <f t="shared" si="0"/>
        <v>14.120667522464696</v>
      </c>
      <c r="J62" s="121">
        <f t="shared" si="1"/>
        <v>52.993805918788716</v>
      </c>
    </row>
    <row r="63" spans="1:10" ht="60">
      <c r="A63" s="130" t="s">
        <v>1493</v>
      </c>
      <c r="B63" s="124" t="s">
        <v>1594</v>
      </c>
      <c r="C63" s="124" t="s">
        <v>1064</v>
      </c>
      <c r="D63" s="124" t="s">
        <v>1364</v>
      </c>
      <c r="E63" s="124"/>
      <c r="F63" s="132">
        <f>F64+F66</f>
        <v>4332</v>
      </c>
      <c r="G63" s="132">
        <f>G64+G66</f>
        <v>4332</v>
      </c>
      <c r="H63" s="132">
        <f>H64+H66</f>
        <v>4265.3</v>
      </c>
      <c r="I63" s="121">
        <f t="shared" si="0"/>
        <v>98.46029547553094</v>
      </c>
      <c r="J63" s="121">
        <f t="shared" si="1"/>
        <v>98.46029547553094</v>
      </c>
    </row>
    <row r="64" spans="1:10" ht="72">
      <c r="A64" s="130" t="s">
        <v>1311</v>
      </c>
      <c r="B64" s="124" t="s">
        <v>1594</v>
      </c>
      <c r="C64" s="124" t="s">
        <v>1064</v>
      </c>
      <c r="D64" s="124" t="s">
        <v>1364</v>
      </c>
      <c r="E64" s="124" t="s">
        <v>1462</v>
      </c>
      <c r="F64" s="132">
        <f>F65</f>
        <v>3994</v>
      </c>
      <c r="G64" s="132">
        <f>G65</f>
        <v>3994</v>
      </c>
      <c r="H64" s="132">
        <f>H65</f>
        <v>3927.3</v>
      </c>
      <c r="I64" s="121">
        <f t="shared" si="0"/>
        <v>98.32999499248874</v>
      </c>
      <c r="J64" s="121">
        <f t="shared" si="1"/>
        <v>98.32999499248874</v>
      </c>
    </row>
    <row r="65" spans="1:10" ht="24">
      <c r="A65" s="130" t="s">
        <v>1039</v>
      </c>
      <c r="B65" s="124" t="s">
        <v>1594</v>
      </c>
      <c r="C65" s="124" t="s">
        <v>1064</v>
      </c>
      <c r="D65" s="124" t="s">
        <v>1364</v>
      </c>
      <c r="E65" s="124" t="s">
        <v>1432</v>
      </c>
      <c r="F65" s="135">
        <v>3994</v>
      </c>
      <c r="G65" s="135">
        <v>3994</v>
      </c>
      <c r="H65" s="135">
        <v>3927.3</v>
      </c>
      <c r="I65" s="121">
        <f t="shared" si="0"/>
        <v>98.32999499248874</v>
      </c>
      <c r="J65" s="121">
        <f t="shared" si="1"/>
        <v>98.32999499248874</v>
      </c>
    </row>
    <row r="66" spans="1:10" ht="24">
      <c r="A66" s="130" t="s">
        <v>1312</v>
      </c>
      <c r="B66" s="124" t="s">
        <v>1594</v>
      </c>
      <c r="C66" s="124" t="s">
        <v>1064</v>
      </c>
      <c r="D66" s="124" t="s">
        <v>1364</v>
      </c>
      <c r="E66" s="124" t="s">
        <v>1704</v>
      </c>
      <c r="F66" s="132">
        <f>F67</f>
        <v>338</v>
      </c>
      <c r="G66" s="132">
        <f>G67</f>
        <v>338</v>
      </c>
      <c r="H66" s="132">
        <f>H67</f>
        <v>338</v>
      </c>
      <c r="I66" s="121">
        <f t="shared" si="0"/>
        <v>100</v>
      </c>
      <c r="J66" s="121">
        <f t="shared" si="1"/>
        <v>100</v>
      </c>
    </row>
    <row r="67" spans="1:10" ht="24">
      <c r="A67" s="130" t="s">
        <v>1406</v>
      </c>
      <c r="B67" s="124" t="s">
        <v>1594</v>
      </c>
      <c r="C67" s="124" t="s">
        <v>1064</v>
      </c>
      <c r="D67" s="124" t="s">
        <v>1364</v>
      </c>
      <c r="E67" s="124" t="s">
        <v>1619</v>
      </c>
      <c r="F67" s="135">
        <v>338</v>
      </c>
      <c r="G67" s="135">
        <v>338</v>
      </c>
      <c r="H67" s="135">
        <v>338</v>
      </c>
      <c r="I67" s="121">
        <f t="shared" si="0"/>
        <v>100</v>
      </c>
      <c r="J67" s="121">
        <f t="shared" si="1"/>
        <v>100</v>
      </c>
    </row>
    <row r="68" spans="1:10" ht="24">
      <c r="A68" s="129" t="s">
        <v>1367</v>
      </c>
      <c r="B68" s="124" t="s">
        <v>1594</v>
      </c>
      <c r="C68" s="124" t="s">
        <v>1064</v>
      </c>
      <c r="D68" s="124" t="s">
        <v>1368</v>
      </c>
      <c r="E68" s="124"/>
      <c r="F68" s="132">
        <f>F69</f>
        <v>4836</v>
      </c>
      <c r="G68" s="132">
        <f>G69</f>
        <v>4836</v>
      </c>
      <c r="H68" s="132">
        <f>H69</f>
        <v>4835.5</v>
      </c>
      <c r="I68" s="121">
        <f t="shared" si="0"/>
        <v>99.98966087675765</v>
      </c>
      <c r="J68" s="121">
        <f t="shared" si="1"/>
        <v>99.98966087675765</v>
      </c>
    </row>
    <row r="69" spans="1:10" ht="96">
      <c r="A69" s="129" t="s">
        <v>626</v>
      </c>
      <c r="B69" s="124" t="s">
        <v>1594</v>
      </c>
      <c r="C69" s="124" t="s">
        <v>1064</v>
      </c>
      <c r="D69" s="124" t="s">
        <v>1369</v>
      </c>
      <c r="E69" s="124"/>
      <c r="F69" s="132">
        <f>F70+F72</f>
        <v>4836</v>
      </c>
      <c r="G69" s="132">
        <f>G70+G72</f>
        <v>4836</v>
      </c>
      <c r="H69" s="132">
        <f>H70+H72</f>
        <v>4835.5</v>
      </c>
      <c r="I69" s="121">
        <f t="shared" si="0"/>
        <v>99.98966087675765</v>
      </c>
      <c r="J69" s="121">
        <f t="shared" si="1"/>
        <v>99.98966087675765</v>
      </c>
    </row>
    <row r="70" spans="1:10" ht="72">
      <c r="A70" s="130" t="s">
        <v>1311</v>
      </c>
      <c r="B70" s="124" t="s">
        <v>1594</v>
      </c>
      <c r="C70" s="124" t="s">
        <v>1064</v>
      </c>
      <c r="D70" s="124" t="s">
        <v>1369</v>
      </c>
      <c r="E70" s="124" t="s">
        <v>1462</v>
      </c>
      <c r="F70" s="132">
        <f>F71</f>
        <v>4053.8</v>
      </c>
      <c r="G70" s="132">
        <f>G71</f>
        <v>4053.8</v>
      </c>
      <c r="H70" s="132">
        <f>H71</f>
        <v>4053.3</v>
      </c>
      <c r="I70" s="121">
        <f t="shared" si="0"/>
        <v>99.98766589372934</v>
      </c>
      <c r="J70" s="121">
        <f t="shared" si="1"/>
        <v>99.98766589372934</v>
      </c>
    </row>
    <row r="71" spans="1:10" ht="24">
      <c r="A71" s="130" t="s">
        <v>1039</v>
      </c>
      <c r="B71" s="124" t="s">
        <v>1594</v>
      </c>
      <c r="C71" s="124" t="s">
        <v>1064</v>
      </c>
      <c r="D71" s="124" t="s">
        <v>1369</v>
      </c>
      <c r="E71" s="124" t="s">
        <v>1432</v>
      </c>
      <c r="F71" s="135">
        <v>4053.8</v>
      </c>
      <c r="G71" s="135">
        <v>4053.8</v>
      </c>
      <c r="H71" s="135">
        <v>4053.3</v>
      </c>
      <c r="I71" s="121">
        <f t="shared" si="0"/>
        <v>99.98766589372934</v>
      </c>
      <c r="J71" s="121">
        <f t="shared" si="1"/>
        <v>99.98766589372934</v>
      </c>
    </row>
    <row r="72" spans="1:10" ht="24">
      <c r="A72" s="130" t="s">
        <v>1312</v>
      </c>
      <c r="B72" s="124" t="s">
        <v>1594</v>
      </c>
      <c r="C72" s="124" t="s">
        <v>1064</v>
      </c>
      <c r="D72" s="124" t="s">
        <v>1369</v>
      </c>
      <c r="E72" s="124" t="s">
        <v>1704</v>
      </c>
      <c r="F72" s="132">
        <f>F73</f>
        <v>782.2</v>
      </c>
      <c r="G72" s="132">
        <f>G73</f>
        <v>782.2</v>
      </c>
      <c r="H72" s="132">
        <f>H73</f>
        <v>782.2</v>
      </c>
      <c r="I72" s="121">
        <f t="shared" si="0"/>
        <v>100</v>
      </c>
      <c r="J72" s="121">
        <f t="shared" si="1"/>
        <v>100</v>
      </c>
    </row>
    <row r="73" spans="1:10" ht="24">
      <c r="A73" s="134" t="s">
        <v>1239</v>
      </c>
      <c r="B73" s="124" t="s">
        <v>1594</v>
      </c>
      <c r="C73" s="124" t="s">
        <v>1064</v>
      </c>
      <c r="D73" s="124" t="s">
        <v>1369</v>
      </c>
      <c r="E73" s="124" t="s">
        <v>1619</v>
      </c>
      <c r="F73" s="135">
        <v>782.2</v>
      </c>
      <c r="G73" s="135">
        <v>782.2</v>
      </c>
      <c r="H73" s="135">
        <v>782.2</v>
      </c>
      <c r="I73" s="121">
        <f t="shared" si="0"/>
        <v>100</v>
      </c>
      <c r="J73" s="121">
        <f t="shared" si="1"/>
        <v>100</v>
      </c>
    </row>
    <row r="74" spans="1:10" ht="48">
      <c r="A74" s="133" t="s">
        <v>1631</v>
      </c>
      <c r="B74" s="124" t="s">
        <v>1594</v>
      </c>
      <c r="C74" s="124" t="s">
        <v>1622</v>
      </c>
      <c r="D74" s="124"/>
      <c r="E74" s="124"/>
      <c r="F74" s="132">
        <f>F83+F75</f>
        <v>25521</v>
      </c>
      <c r="G74" s="132">
        <f>G83+G75</f>
        <v>25521</v>
      </c>
      <c r="H74" s="132">
        <f>H83+H75</f>
        <v>23233.700000000004</v>
      </c>
      <c r="I74" s="121">
        <f t="shared" si="0"/>
        <v>91.03757689745701</v>
      </c>
      <c r="J74" s="121">
        <f t="shared" si="1"/>
        <v>91.03757689745701</v>
      </c>
    </row>
    <row r="75" spans="1:10" ht="48">
      <c r="A75" s="129" t="s">
        <v>1616</v>
      </c>
      <c r="B75" s="124" t="s">
        <v>1634</v>
      </c>
      <c r="C75" s="124" t="s">
        <v>1622</v>
      </c>
      <c r="D75" s="124" t="s">
        <v>1244</v>
      </c>
      <c r="E75" s="124"/>
      <c r="F75" s="132">
        <f>F76</f>
        <v>5037.2</v>
      </c>
      <c r="G75" s="132">
        <f>G76</f>
        <v>5037.2</v>
      </c>
      <c r="H75" s="132">
        <f>H76</f>
        <v>4597.1</v>
      </c>
      <c r="I75" s="121">
        <f t="shared" si="0"/>
        <v>91.26300325577704</v>
      </c>
      <c r="J75" s="121">
        <f t="shared" si="1"/>
        <v>91.26300325577704</v>
      </c>
    </row>
    <row r="76" spans="1:10" ht="24">
      <c r="A76" s="129" t="s">
        <v>1494</v>
      </c>
      <c r="B76" s="124" t="s">
        <v>1634</v>
      </c>
      <c r="C76" s="124" t="s">
        <v>1622</v>
      </c>
      <c r="D76" s="124" t="s">
        <v>459</v>
      </c>
      <c r="E76" s="124"/>
      <c r="F76" s="132">
        <f>F77+F79+F81</f>
        <v>5037.2</v>
      </c>
      <c r="G76" s="132">
        <f>G77+G79+G81</f>
        <v>5037.2</v>
      </c>
      <c r="H76" s="132">
        <f>H77+H79+H81</f>
        <v>4597.1</v>
      </c>
      <c r="I76" s="121">
        <f t="shared" si="0"/>
        <v>91.26300325577704</v>
      </c>
      <c r="J76" s="121">
        <f t="shared" si="1"/>
        <v>91.26300325577704</v>
      </c>
    </row>
    <row r="77" spans="1:10" ht="72">
      <c r="A77" s="130" t="s">
        <v>1311</v>
      </c>
      <c r="B77" s="124" t="s">
        <v>1594</v>
      </c>
      <c r="C77" s="124" t="s">
        <v>1622</v>
      </c>
      <c r="D77" s="124" t="s">
        <v>459</v>
      </c>
      <c r="E77" s="124" t="s">
        <v>1462</v>
      </c>
      <c r="F77" s="132">
        <f>F78</f>
        <v>4893.7</v>
      </c>
      <c r="G77" s="132">
        <f>G78</f>
        <v>4893.7</v>
      </c>
      <c r="H77" s="132">
        <f>H78</f>
        <v>4463.8</v>
      </c>
      <c r="I77" s="121">
        <f t="shared" si="0"/>
        <v>91.21523591556492</v>
      </c>
      <c r="J77" s="121">
        <f t="shared" si="1"/>
        <v>91.21523591556492</v>
      </c>
    </row>
    <row r="78" spans="1:10" ht="24">
      <c r="A78" s="130" t="s">
        <v>1039</v>
      </c>
      <c r="B78" s="124" t="s">
        <v>1594</v>
      </c>
      <c r="C78" s="124" t="s">
        <v>1622</v>
      </c>
      <c r="D78" s="124" t="s">
        <v>459</v>
      </c>
      <c r="E78" s="124" t="s">
        <v>1432</v>
      </c>
      <c r="F78" s="135">
        <v>4893.7</v>
      </c>
      <c r="G78" s="135">
        <v>4893.7</v>
      </c>
      <c r="H78" s="135">
        <v>4463.8</v>
      </c>
      <c r="I78" s="121">
        <f t="shared" si="0"/>
        <v>91.21523591556492</v>
      </c>
      <c r="J78" s="121">
        <f t="shared" si="1"/>
        <v>91.21523591556492</v>
      </c>
    </row>
    <row r="79" spans="1:10" ht="24">
      <c r="A79" s="130" t="s">
        <v>1312</v>
      </c>
      <c r="B79" s="124" t="s">
        <v>1594</v>
      </c>
      <c r="C79" s="124" t="s">
        <v>1622</v>
      </c>
      <c r="D79" s="124" t="s">
        <v>459</v>
      </c>
      <c r="E79" s="124" t="s">
        <v>1704</v>
      </c>
      <c r="F79" s="132">
        <f>F80</f>
        <v>103.5</v>
      </c>
      <c r="G79" s="132">
        <f>G80</f>
        <v>143.5</v>
      </c>
      <c r="H79" s="132">
        <f>H80</f>
        <v>133.3</v>
      </c>
      <c r="I79" s="121">
        <f t="shared" si="0"/>
        <v>128.792270531401</v>
      </c>
      <c r="J79" s="121">
        <f t="shared" si="1"/>
        <v>92.89198606271778</v>
      </c>
    </row>
    <row r="80" spans="1:10" ht="24">
      <c r="A80" s="134" t="s">
        <v>1239</v>
      </c>
      <c r="B80" s="124" t="s">
        <v>1594</v>
      </c>
      <c r="C80" s="124" t="s">
        <v>1622</v>
      </c>
      <c r="D80" s="124" t="s">
        <v>459</v>
      </c>
      <c r="E80" s="124" t="s">
        <v>1619</v>
      </c>
      <c r="F80" s="135">
        <f>103.5</f>
        <v>103.5</v>
      </c>
      <c r="G80" s="135">
        <f>103.5+40</f>
        <v>143.5</v>
      </c>
      <c r="H80" s="135">
        <v>133.3</v>
      </c>
      <c r="I80" s="121">
        <f aca="true" t="shared" si="7" ref="I80:I141">H80/F80*100</f>
        <v>128.792270531401</v>
      </c>
      <c r="J80" s="121">
        <f aca="true" t="shared" si="8" ref="J80:J141">H80/G80*100</f>
        <v>92.89198606271778</v>
      </c>
    </row>
    <row r="81" spans="1:10" ht="15.75">
      <c r="A81" s="130" t="s">
        <v>910</v>
      </c>
      <c r="B81" s="124" t="s">
        <v>1594</v>
      </c>
      <c r="C81" s="124" t="s">
        <v>1622</v>
      </c>
      <c r="D81" s="124" t="s">
        <v>459</v>
      </c>
      <c r="E81" s="124" t="s">
        <v>911</v>
      </c>
      <c r="F81" s="132">
        <f>F82</f>
        <v>40</v>
      </c>
      <c r="G81" s="132">
        <f>G82</f>
        <v>0</v>
      </c>
      <c r="H81" s="132">
        <f>H82</f>
        <v>0</v>
      </c>
      <c r="I81" s="121">
        <f t="shared" si="7"/>
        <v>0</v>
      </c>
      <c r="J81" s="121">
        <v>0</v>
      </c>
    </row>
    <row r="82" spans="1:10" ht="15.75">
      <c r="A82" s="130" t="s">
        <v>589</v>
      </c>
      <c r="B82" s="124" t="s">
        <v>1594</v>
      </c>
      <c r="C82" s="124" t="s">
        <v>1622</v>
      </c>
      <c r="D82" s="124" t="s">
        <v>459</v>
      </c>
      <c r="E82" s="124" t="s">
        <v>590</v>
      </c>
      <c r="F82" s="135">
        <f>40</f>
        <v>40</v>
      </c>
      <c r="G82" s="135">
        <f>40-40</f>
        <v>0</v>
      </c>
      <c r="H82" s="135">
        <f>40-40</f>
        <v>0</v>
      </c>
      <c r="I82" s="121">
        <f t="shared" si="7"/>
        <v>0</v>
      </c>
      <c r="J82" s="121">
        <v>0</v>
      </c>
    </row>
    <row r="83" spans="1:10" ht="24">
      <c r="A83" s="137" t="s">
        <v>460</v>
      </c>
      <c r="B83" s="124" t="s">
        <v>1594</v>
      </c>
      <c r="C83" s="124" t="s">
        <v>1622</v>
      </c>
      <c r="D83" s="124" t="s">
        <v>123</v>
      </c>
      <c r="E83" s="124"/>
      <c r="F83" s="132">
        <f>F84</f>
        <v>20483.8</v>
      </c>
      <c r="G83" s="132">
        <f>G84</f>
        <v>20483.8</v>
      </c>
      <c r="H83" s="132">
        <f>H84</f>
        <v>18636.600000000002</v>
      </c>
      <c r="I83" s="121">
        <f t="shared" si="7"/>
        <v>90.98214198537381</v>
      </c>
      <c r="J83" s="121">
        <f t="shared" si="8"/>
        <v>90.98214198537381</v>
      </c>
    </row>
    <row r="84" spans="1:10" ht="48">
      <c r="A84" s="134" t="s">
        <v>461</v>
      </c>
      <c r="B84" s="124" t="s">
        <v>1594</v>
      </c>
      <c r="C84" s="124" t="s">
        <v>1622</v>
      </c>
      <c r="D84" s="124" t="s">
        <v>462</v>
      </c>
      <c r="E84" s="124"/>
      <c r="F84" s="132">
        <f>F85+F87+F89</f>
        <v>20483.8</v>
      </c>
      <c r="G84" s="132">
        <f>G85+G87+G89</f>
        <v>20483.8</v>
      </c>
      <c r="H84" s="132">
        <f>H85+H87+H89</f>
        <v>18636.600000000002</v>
      </c>
      <c r="I84" s="121">
        <f t="shared" si="7"/>
        <v>90.98214198537381</v>
      </c>
      <c r="J84" s="121">
        <f t="shared" si="8"/>
        <v>90.98214198537381</v>
      </c>
    </row>
    <row r="85" spans="1:10" ht="72">
      <c r="A85" s="130" t="s">
        <v>1311</v>
      </c>
      <c r="B85" s="124" t="s">
        <v>1594</v>
      </c>
      <c r="C85" s="124" t="s">
        <v>1622</v>
      </c>
      <c r="D85" s="124" t="s">
        <v>463</v>
      </c>
      <c r="E85" s="124" t="s">
        <v>1462</v>
      </c>
      <c r="F85" s="132">
        <f>F86</f>
        <v>20132.8</v>
      </c>
      <c r="G85" s="132">
        <f>G86</f>
        <v>20132.8</v>
      </c>
      <c r="H85" s="132">
        <f>H86</f>
        <v>18393.4</v>
      </c>
      <c r="I85" s="121">
        <f t="shared" si="7"/>
        <v>91.36036716204404</v>
      </c>
      <c r="J85" s="121">
        <f t="shared" si="8"/>
        <v>91.36036716204404</v>
      </c>
    </row>
    <row r="86" spans="1:10" ht="24">
      <c r="A86" s="130" t="s">
        <v>1039</v>
      </c>
      <c r="B86" s="124" t="s">
        <v>1594</v>
      </c>
      <c r="C86" s="124" t="s">
        <v>1622</v>
      </c>
      <c r="D86" s="124" t="s">
        <v>463</v>
      </c>
      <c r="E86" s="124" t="s">
        <v>1432</v>
      </c>
      <c r="F86" s="135">
        <v>20132.8</v>
      </c>
      <c r="G86" s="135">
        <v>20132.8</v>
      </c>
      <c r="H86" s="135">
        <v>18393.4</v>
      </c>
      <c r="I86" s="121">
        <f t="shared" si="7"/>
        <v>91.36036716204404</v>
      </c>
      <c r="J86" s="121">
        <f t="shared" si="8"/>
        <v>91.36036716204404</v>
      </c>
    </row>
    <row r="87" spans="1:10" ht="24">
      <c r="A87" s="130" t="s">
        <v>1312</v>
      </c>
      <c r="B87" s="124" t="s">
        <v>1594</v>
      </c>
      <c r="C87" s="124" t="s">
        <v>1622</v>
      </c>
      <c r="D87" s="124" t="s">
        <v>463</v>
      </c>
      <c r="E87" s="124" t="s">
        <v>1704</v>
      </c>
      <c r="F87" s="135">
        <f>F88</f>
        <v>339</v>
      </c>
      <c r="G87" s="135">
        <f>G88</f>
        <v>339</v>
      </c>
      <c r="H87" s="135">
        <f>H88</f>
        <v>241.2</v>
      </c>
      <c r="I87" s="121">
        <f t="shared" si="7"/>
        <v>71.15044247787611</v>
      </c>
      <c r="J87" s="121">
        <f t="shared" si="8"/>
        <v>71.15044247787611</v>
      </c>
    </row>
    <row r="88" spans="1:10" ht="24">
      <c r="A88" s="130" t="s">
        <v>1406</v>
      </c>
      <c r="B88" s="124" t="s">
        <v>1594</v>
      </c>
      <c r="C88" s="124" t="s">
        <v>1622</v>
      </c>
      <c r="D88" s="124" t="s">
        <v>463</v>
      </c>
      <c r="E88" s="124" t="s">
        <v>1619</v>
      </c>
      <c r="F88" s="135">
        <v>339</v>
      </c>
      <c r="G88" s="135">
        <v>339</v>
      </c>
      <c r="H88" s="135">
        <v>241.2</v>
      </c>
      <c r="I88" s="121">
        <f t="shared" si="7"/>
        <v>71.15044247787611</v>
      </c>
      <c r="J88" s="121">
        <f t="shared" si="8"/>
        <v>71.15044247787611</v>
      </c>
    </row>
    <row r="89" spans="1:10" ht="24">
      <c r="A89" s="136" t="s">
        <v>655</v>
      </c>
      <c r="B89" s="124" t="s">
        <v>1594</v>
      </c>
      <c r="C89" s="124" t="s">
        <v>1622</v>
      </c>
      <c r="D89" s="124" t="s">
        <v>464</v>
      </c>
      <c r="E89" s="124"/>
      <c r="F89" s="132">
        <f aca="true" t="shared" si="9" ref="F89:H90">F90</f>
        <v>12</v>
      </c>
      <c r="G89" s="132">
        <f t="shared" si="9"/>
        <v>12</v>
      </c>
      <c r="H89" s="132">
        <f t="shared" si="9"/>
        <v>2</v>
      </c>
      <c r="I89" s="121">
        <f t="shared" si="7"/>
        <v>16.666666666666664</v>
      </c>
      <c r="J89" s="121">
        <f t="shared" si="8"/>
        <v>16.666666666666664</v>
      </c>
    </row>
    <row r="90" spans="1:10" ht="15.75">
      <c r="A90" s="130" t="s">
        <v>910</v>
      </c>
      <c r="B90" s="124" t="s">
        <v>1594</v>
      </c>
      <c r="C90" s="124" t="s">
        <v>1622</v>
      </c>
      <c r="D90" s="124" t="s">
        <v>464</v>
      </c>
      <c r="E90" s="124" t="s">
        <v>911</v>
      </c>
      <c r="F90" s="132">
        <f t="shared" si="9"/>
        <v>12</v>
      </c>
      <c r="G90" s="132">
        <f t="shared" si="9"/>
        <v>12</v>
      </c>
      <c r="H90" s="132">
        <f t="shared" si="9"/>
        <v>2</v>
      </c>
      <c r="I90" s="121">
        <f t="shared" si="7"/>
        <v>16.666666666666664</v>
      </c>
      <c r="J90" s="121">
        <f t="shared" si="8"/>
        <v>16.666666666666664</v>
      </c>
    </row>
    <row r="91" spans="1:10" ht="15.75">
      <c r="A91" s="130" t="s">
        <v>589</v>
      </c>
      <c r="B91" s="124" t="s">
        <v>1594</v>
      </c>
      <c r="C91" s="124" t="s">
        <v>1622</v>
      </c>
      <c r="D91" s="124" t="s">
        <v>464</v>
      </c>
      <c r="E91" s="124" t="s">
        <v>590</v>
      </c>
      <c r="F91" s="135">
        <v>12</v>
      </c>
      <c r="G91" s="135">
        <v>12</v>
      </c>
      <c r="H91" s="135">
        <v>2</v>
      </c>
      <c r="I91" s="121">
        <f t="shared" si="7"/>
        <v>16.666666666666664</v>
      </c>
      <c r="J91" s="121">
        <f t="shared" si="8"/>
        <v>16.666666666666664</v>
      </c>
    </row>
    <row r="92" spans="1:10" ht="24">
      <c r="A92" s="139" t="s">
        <v>677</v>
      </c>
      <c r="B92" s="124" t="s">
        <v>1594</v>
      </c>
      <c r="C92" s="124" t="s">
        <v>1625</v>
      </c>
      <c r="D92" s="124"/>
      <c r="E92" s="124"/>
      <c r="F92" s="132">
        <f aca="true" t="shared" si="10" ref="F92:H96">F93</f>
        <v>2087</v>
      </c>
      <c r="G92" s="132">
        <f t="shared" si="10"/>
        <v>5807</v>
      </c>
      <c r="H92" s="132">
        <f t="shared" si="10"/>
        <v>5788.4</v>
      </c>
      <c r="I92" s="121">
        <f t="shared" si="7"/>
        <v>277.3550551030186</v>
      </c>
      <c r="J92" s="121">
        <f t="shared" si="8"/>
        <v>99.67969691751334</v>
      </c>
    </row>
    <row r="93" spans="1:10" ht="24">
      <c r="A93" s="137" t="s">
        <v>1454</v>
      </c>
      <c r="B93" s="124" t="s">
        <v>1594</v>
      </c>
      <c r="C93" s="124" t="s">
        <v>1625</v>
      </c>
      <c r="D93" s="124" t="s">
        <v>123</v>
      </c>
      <c r="E93" s="124"/>
      <c r="F93" s="132">
        <f t="shared" si="10"/>
        <v>2087</v>
      </c>
      <c r="G93" s="132">
        <f t="shared" si="10"/>
        <v>5807</v>
      </c>
      <c r="H93" s="132">
        <f t="shared" si="10"/>
        <v>5788.4</v>
      </c>
      <c r="I93" s="121">
        <f t="shared" si="7"/>
        <v>277.3550551030186</v>
      </c>
      <c r="J93" s="121">
        <f t="shared" si="8"/>
        <v>99.67969691751334</v>
      </c>
    </row>
    <row r="94" spans="1:10" ht="36">
      <c r="A94" s="129" t="s">
        <v>1004</v>
      </c>
      <c r="B94" s="124" t="s">
        <v>1594</v>
      </c>
      <c r="C94" s="124" t="s">
        <v>1625</v>
      </c>
      <c r="D94" s="124" t="s">
        <v>1357</v>
      </c>
      <c r="E94" s="124"/>
      <c r="F94" s="132">
        <f t="shared" si="10"/>
        <v>2087</v>
      </c>
      <c r="G94" s="132">
        <f t="shared" si="10"/>
        <v>5807</v>
      </c>
      <c r="H94" s="132">
        <f t="shared" si="10"/>
        <v>5788.4</v>
      </c>
      <c r="I94" s="121">
        <f t="shared" si="7"/>
        <v>277.3550551030186</v>
      </c>
      <c r="J94" s="121">
        <f t="shared" si="8"/>
        <v>99.67969691751334</v>
      </c>
    </row>
    <row r="95" spans="1:10" ht="15.75">
      <c r="A95" s="134" t="s">
        <v>847</v>
      </c>
      <c r="B95" s="124" t="s">
        <v>1594</v>
      </c>
      <c r="C95" s="124" t="s">
        <v>1625</v>
      </c>
      <c r="D95" s="124" t="s">
        <v>1358</v>
      </c>
      <c r="E95" s="124"/>
      <c r="F95" s="132">
        <f t="shared" si="10"/>
        <v>2087</v>
      </c>
      <c r="G95" s="132">
        <f t="shared" si="10"/>
        <v>5807</v>
      </c>
      <c r="H95" s="132">
        <f t="shared" si="10"/>
        <v>5788.4</v>
      </c>
      <c r="I95" s="121">
        <f t="shared" si="7"/>
        <v>277.3550551030186</v>
      </c>
      <c r="J95" s="121">
        <f t="shared" si="8"/>
        <v>99.67969691751334</v>
      </c>
    </row>
    <row r="96" spans="1:10" ht="15.75">
      <c r="A96" s="130" t="s">
        <v>910</v>
      </c>
      <c r="B96" s="124" t="s">
        <v>1594</v>
      </c>
      <c r="C96" s="124" t="s">
        <v>1625</v>
      </c>
      <c r="D96" s="124" t="s">
        <v>1358</v>
      </c>
      <c r="E96" s="124" t="s">
        <v>911</v>
      </c>
      <c r="F96" s="132">
        <f t="shared" si="10"/>
        <v>2087</v>
      </c>
      <c r="G96" s="132">
        <f t="shared" si="10"/>
        <v>5807</v>
      </c>
      <c r="H96" s="132">
        <f t="shared" si="10"/>
        <v>5788.4</v>
      </c>
      <c r="I96" s="121">
        <f t="shared" si="7"/>
        <v>277.3550551030186</v>
      </c>
      <c r="J96" s="121">
        <f t="shared" si="8"/>
        <v>99.67969691751334</v>
      </c>
    </row>
    <row r="97" spans="1:10" ht="15.75">
      <c r="A97" s="129" t="s">
        <v>912</v>
      </c>
      <c r="B97" s="124" t="s">
        <v>1594</v>
      </c>
      <c r="C97" s="124" t="s">
        <v>1625</v>
      </c>
      <c r="D97" s="124" t="s">
        <v>1358</v>
      </c>
      <c r="E97" s="124" t="s">
        <v>913</v>
      </c>
      <c r="F97" s="135">
        <f>2087</f>
        <v>2087</v>
      </c>
      <c r="G97" s="135">
        <f>2087+4220-500</f>
        <v>5807</v>
      </c>
      <c r="H97" s="135">
        <v>5788.4</v>
      </c>
      <c r="I97" s="121">
        <f t="shared" si="7"/>
        <v>277.3550551030186</v>
      </c>
      <c r="J97" s="121">
        <f t="shared" si="8"/>
        <v>99.67969691751334</v>
      </c>
    </row>
    <row r="98" spans="1:10" ht="15.75">
      <c r="A98" s="139" t="s">
        <v>1518</v>
      </c>
      <c r="B98" s="124" t="s">
        <v>1594</v>
      </c>
      <c r="C98" s="124" t="s">
        <v>1695</v>
      </c>
      <c r="D98" s="140"/>
      <c r="E98" s="124"/>
      <c r="F98" s="132">
        <f>F100</f>
        <v>7000</v>
      </c>
      <c r="G98" s="132">
        <f>G100</f>
        <v>5200</v>
      </c>
      <c r="H98" s="132">
        <f>H100</f>
        <v>0</v>
      </c>
      <c r="I98" s="121">
        <f t="shared" si="7"/>
        <v>0</v>
      </c>
      <c r="J98" s="121">
        <f t="shared" si="8"/>
        <v>0</v>
      </c>
    </row>
    <row r="99" spans="1:10" ht="15.75">
      <c r="A99" s="141" t="s">
        <v>1518</v>
      </c>
      <c r="B99" s="124" t="s">
        <v>1594</v>
      </c>
      <c r="C99" s="124" t="s">
        <v>1695</v>
      </c>
      <c r="D99" s="124" t="s">
        <v>1244</v>
      </c>
      <c r="E99" s="124"/>
      <c r="F99" s="132">
        <f aca="true" t="shared" si="11" ref="F99:H101">F100</f>
        <v>7000</v>
      </c>
      <c r="G99" s="132">
        <f t="shared" si="11"/>
        <v>5200</v>
      </c>
      <c r="H99" s="132">
        <f t="shared" si="11"/>
        <v>0</v>
      </c>
      <c r="I99" s="121">
        <f t="shared" si="7"/>
        <v>0</v>
      </c>
      <c r="J99" s="121">
        <f t="shared" si="8"/>
        <v>0</v>
      </c>
    </row>
    <row r="100" spans="1:10" ht="15.75">
      <c r="A100" s="134" t="s">
        <v>391</v>
      </c>
      <c r="B100" s="124" t="s">
        <v>1594</v>
      </c>
      <c r="C100" s="124" t="s">
        <v>1695</v>
      </c>
      <c r="D100" s="124" t="s">
        <v>1245</v>
      </c>
      <c r="E100" s="124"/>
      <c r="F100" s="132">
        <f t="shared" si="11"/>
        <v>7000</v>
      </c>
      <c r="G100" s="132">
        <f t="shared" si="11"/>
        <v>5200</v>
      </c>
      <c r="H100" s="132">
        <f t="shared" si="11"/>
        <v>0</v>
      </c>
      <c r="I100" s="121">
        <f t="shared" si="7"/>
        <v>0</v>
      </c>
      <c r="J100" s="121">
        <f t="shared" si="8"/>
        <v>0</v>
      </c>
    </row>
    <row r="101" spans="1:10" ht="15.75">
      <c r="A101" s="130" t="s">
        <v>910</v>
      </c>
      <c r="B101" s="124" t="s">
        <v>1594</v>
      </c>
      <c r="C101" s="124" t="s">
        <v>1695</v>
      </c>
      <c r="D101" s="124" t="s">
        <v>1245</v>
      </c>
      <c r="E101" s="124" t="s">
        <v>911</v>
      </c>
      <c r="F101" s="132">
        <f t="shared" si="11"/>
        <v>7000</v>
      </c>
      <c r="G101" s="132">
        <f t="shared" si="11"/>
        <v>5200</v>
      </c>
      <c r="H101" s="132">
        <f t="shared" si="11"/>
        <v>0</v>
      </c>
      <c r="I101" s="121">
        <f t="shared" si="7"/>
        <v>0</v>
      </c>
      <c r="J101" s="121">
        <f t="shared" si="8"/>
        <v>0</v>
      </c>
    </row>
    <row r="102" spans="1:10" ht="15.75">
      <c r="A102" s="134" t="s">
        <v>701</v>
      </c>
      <c r="B102" s="124" t="s">
        <v>1594</v>
      </c>
      <c r="C102" s="124" t="s">
        <v>1695</v>
      </c>
      <c r="D102" s="124" t="s">
        <v>1245</v>
      </c>
      <c r="E102" s="124" t="s">
        <v>702</v>
      </c>
      <c r="F102" s="135">
        <f>7000</f>
        <v>7000</v>
      </c>
      <c r="G102" s="135">
        <v>5200</v>
      </c>
      <c r="H102" s="135">
        <v>0</v>
      </c>
      <c r="I102" s="121">
        <f t="shared" si="7"/>
        <v>0</v>
      </c>
      <c r="J102" s="121">
        <f t="shared" si="8"/>
        <v>0</v>
      </c>
    </row>
    <row r="103" spans="1:10" ht="15.75">
      <c r="A103" s="133" t="s">
        <v>771</v>
      </c>
      <c r="B103" s="124" t="s">
        <v>1594</v>
      </c>
      <c r="C103" s="124" t="s">
        <v>1296</v>
      </c>
      <c r="D103" s="124"/>
      <c r="E103" s="124"/>
      <c r="F103" s="132">
        <f>F104+F108+F183+F179</f>
        <v>106579.9</v>
      </c>
      <c r="G103" s="132">
        <f>G104+G108+G183+G179</f>
        <v>492985.6</v>
      </c>
      <c r="H103" s="132">
        <f>H104+H108+H183+H179</f>
        <v>482624.8</v>
      </c>
      <c r="I103" s="121">
        <f t="shared" si="7"/>
        <v>452.8290981695423</v>
      </c>
      <c r="J103" s="121">
        <f t="shared" si="8"/>
        <v>97.89835646315025</v>
      </c>
    </row>
    <row r="104" spans="1:10" ht="36">
      <c r="A104" s="141" t="s">
        <v>1044</v>
      </c>
      <c r="B104" s="124" t="s">
        <v>1594</v>
      </c>
      <c r="C104" s="124" t="s">
        <v>1296</v>
      </c>
      <c r="D104" s="124" t="s">
        <v>546</v>
      </c>
      <c r="E104" s="124"/>
      <c r="F104" s="132">
        <f aca="true" t="shared" si="12" ref="F104:H106">F105</f>
        <v>2562</v>
      </c>
      <c r="G104" s="132">
        <f t="shared" si="12"/>
        <v>2583.5</v>
      </c>
      <c r="H104" s="132">
        <f t="shared" si="12"/>
        <v>1767.8</v>
      </c>
      <c r="I104" s="121">
        <f t="shared" si="7"/>
        <v>69.0007806401249</v>
      </c>
      <c r="J104" s="121">
        <f t="shared" si="8"/>
        <v>68.4265531256048</v>
      </c>
    </row>
    <row r="105" spans="1:10" ht="36">
      <c r="A105" s="129" t="s">
        <v>1000</v>
      </c>
      <c r="B105" s="124" t="s">
        <v>1594</v>
      </c>
      <c r="C105" s="124" t="s">
        <v>1296</v>
      </c>
      <c r="D105" s="124" t="s">
        <v>1002</v>
      </c>
      <c r="E105" s="124"/>
      <c r="F105" s="132">
        <f t="shared" si="12"/>
        <v>2562</v>
      </c>
      <c r="G105" s="132">
        <f t="shared" si="12"/>
        <v>2583.5</v>
      </c>
      <c r="H105" s="132">
        <f t="shared" si="12"/>
        <v>1767.8</v>
      </c>
      <c r="I105" s="121">
        <f t="shared" si="7"/>
        <v>69.0007806401249</v>
      </c>
      <c r="J105" s="121">
        <f t="shared" si="8"/>
        <v>68.4265531256048</v>
      </c>
    </row>
    <row r="106" spans="1:10" ht="15.75">
      <c r="A106" s="134" t="s">
        <v>910</v>
      </c>
      <c r="B106" s="124" t="s">
        <v>1594</v>
      </c>
      <c r="C106" s="124" t="s">
        <v>1296</v>
      </c>
      <c r="D106" s="124" t="s">
        <v>1003</v>
      </c>
      <c r="E106" s="124" t="s">
        <v>911</v>
      </c>
      <c r="F106" s="132">
        <f t="shared" si="12"/>
        <v>2562</v>
      </c>
      <c r="G106" s="132">
        <f t="shared" si="12"/>
        <v>2583.5</v>
      </c>
      <c r="H106" s="132">
        <f t="shared" si="12"/>
        <v>1767.8</v>
      </c>
      <c r="I106" s="121">
        <f t="shared" si="7"/>
        <v>69.0007806401249</v>
      </c>
      <c r="J106" s="121">
        <f t="shared" si="8"/>
        <v>68.4265531256048</v>
      </c>
    </row>
    <row r="107" spans="1:10" ht="60">
      <c r="A107" s="129" t="s">
        <v>1001</v>
      </c>
      <c r="B107" s="124" t="s">
        <v>1594</v>
      </c>
      <c r="C107" s="124" t="s">
        <v>1296</v>
      </c>
      <c r="D107" s="124" t="s">
        <v>1003</v>
      </c>
      <c r="E107" s="124" t="s">
        <v>1267</v>
      </c>
      <c r="F107" s="135">
        <f>2562</f>
        <v>2562</v>
      </c>
      <c r="G107" s="135">
        <f>2562+21.5</f>
        <v>2583.5</v>
      </c>
      <c r="H107" s="135">
        <v>1767.8</v>
      </c>
      <c r="I107" s="121">
        <f t="shared" si="7"/>
        <v>69.0007806401249</v>
      </c>
      <c r="J107" s="121">
        <f t="shared" si="8"/>
        <v>68.4265531256048</v>
      </c>
    </row>
    <row r="108" spans="1:10" ht="24">
      <c r="A108" s="137" t="s">
        <v>1454</v>
      </c>
      <c r="B108" s="124" t="s">
        <v>1594</v>
      </c>
      <c r="C108" s="124" t="s">
        <v>1296</v>
      </c>
      <c r="D108" s="124" t="s">
        <v>123</v>
      </c>
      <c r="E108" s="124"/>
      <c r="F108" s="132">
        <f>F109+F126+F133+F144+F153+F161+F172</f>
        <v>104017.9</v>
      </c>
      <c r="G108" s="132">
        <f>G109+G126+G133+G144+G153+G161+G172</f>
        <v>476321.1</v>
      </c>
      <c r="H108" s="132">
        <f>H109+H126+H133+H144+H153+H161+H172</f>
        <v>467561.89999999997</v>
      </c>
      <c r="I108" s="121">
        <f t="shared" si="7"/>
        <v>449.5013838964256</v>
      </c>
      <c r="J108" s="121">
        <f t="shared" si="8"/>
        <v>98.16107243622002</v>
      </c>
    </row>
    <row r="109" spans="1:10" ht="48">
      <c r="A109" s="136" t="s">
        <v>1224</v>
      </c>
      <c r="B109" s="124" t="s">
        <v>1594</v>
      </c>
      <c r="C109" s="124" t="s">
        <v>1296</v>
      </c>
      <c r="D109" s="124" t="s">
        <v>616</v>
      </c>
      <c r="E109" s="124"/>
      <c r="F109" s="132">
        <f>F110+F123</f>
        <v>32105.9</v>
      </c>
      <c r="G109" s="132">
        <f>G110+G120+G123</f>
        <v>45507.3</v>
      </c>
      <c r="H109" s="132">
        <f>H110+H120+H123</f>
        <v>37799.799999999996</v>
      </c>
      <c r="I109" s="121">
        <f t="shared" si="7"/>
        <v>117.73474657305975</v>
      </c>
      <c r="J109" s="121">
        <f t="shared" si="8"/>
        <v>83.06315690010173</v>
      </c>
    </row>
    <row r="110" spans="1:10" ht="36">
      <c r="A110" s="129" t="s">
        <v>752</v>
      </c>
      <c r="B110" s="124" t="s">
        <v>1594</v>
      </c>
      <c r="C110" s="124" t="s">
        <v>1296</v>
      </c>
      <c r="D110" s="124" t="s">
        <v>617</v>
      </c>
      <c r="E110" s="124" t="s">
        <v>751</v>
      </c>
      <c r="F110" s="132">
        <f>F111</f>
        <v>23956.9</v>
      </c>
      <c r="G110" s="132">
        <f>G111</f>
        <v>31460.300000000003</v>
      </c>
      <c r="H110" s="132">
        <f>H111</f>
        <v>30810.8</v>
      </c>
      <c r="I110" s="121">
        <f t="shared" si="7"/>
        <v>128.60929419081765</v>
      </c>
      <c r="J110" s="121">
        <f t="shared" si="8"/>
        <v>97.93549330425965</v>
      </c>
    </row>
    <row r="111" spans="1:10" ht="15.75">
      <c r="A111" s="134" t="s">
        <v>1435</v>
      </c>
      <c r="B111" s="124" t="s">
        <v>1594</v>
      </c>
      <c r="C111" s="124" t="s">
        <v>1296</v>
      </c>
      <c r="D111" s="124" t="s">
        <v>617</v>
      </c>
      <c r="E111" s="124" t="s">
        <v>1436</v>
      </c>
      <c r="F111" s="135">
        <f>23956.9+F112+F113+F114+F115+F116+F117+F118+F119</f>
        <v>23956.9</v>
      </c>
      <c r="G111" s="135">
        <f>23956.9-2350+G112+G113+G114+5000+G115+G116+G117+G118+G119</f>
        <v>31460.300000000003</v>
      </c>
      <c r="H111" s="135">
        <v>30810.8</v>
      </c>
      <c r="I111" s="121">
        <f t="shared" si="7"/>
        <v>128.60929419081765</v>
      </c>
      <c r="J111" s="121">
        <f t="shared" si="8"/>
        <v>97.93549330425965</v>
      </c>
    </row>
    <row r="112" spans="1:10" ht="24">
      <c r="A112" s="134" t="s">
        <v>1077</v>
      </c>
      <c r="B112" s="124" t="s">
        <v>1594</v>
      </c>
      <c r="C112" s="124" t="s">
        <v>1296</v>
      </c>
      <c r="D112" s="124" t="s">
        <v>617</v>
      </c>
      <c r="E112" s="124" t="s">
        <v>1436</v>
      </c>
      <c r="F112" s="135">
        <v>0</v>
      </c>
      <c r="G112" s="135">
        <v>821.6</v>
      </c>
      <c r="H112" s="135">
        <v>821.6</v>
      </c>
      <c r="I112" s="121">
        <v>0</v>
      </c>
      <c r="J112" s="121">
        <f t="shared" si="8"/>
        <v>100</v>
      </c>
    </row>
    <row r="113" spans="1:10" ht="24">
      <c r="A113" s="134" t="s">
        <v>1078</v>
      </c>
      <c r="B113" s="124" t="s">
        <v>1594</v>
      </c>
      <c r="C113" s="124" t="s">
        <v>1296</v>
      </c>
      <c r="D113" s="124" t="s">
        <v>617</v>
      </c>
      <c r="E113" s="124" t="s">
        <v>1436</v>
      </c>
      <c r="F113" s="135">
        <v>0</v>
      </c>
      <c r="G113" s="135">
        <f>368.4+203.5</f>
        <v>571.9</v>
      </c>
      <c r="H113" s="135">
        <f>368.4+203.5</f>
        <v>571.9</v>
      </c>
      <c r="I113" s="121">
        <v>0</v>
      </c>
      <c r="J113" s="121">
        <f t="shared" si="8"/>
        <v>100</v>
      </c>
    </row>
    <row r="114" spans="1:10" ht="36">
      <c r="A114" s="134" t="s">
        <v>1079</v>
      </c>
      <c r="B114" s="124" t="s">
        <v>1594</v>
      </c>
      <c r="C114" s="124" t="s">
        <v>1296</v>
      </c>
      <c r="D114" s="124" t="s">
        <v>617</v>
      </c>
      <c r="E114" s="124" t="s">
        <v>1436</v>
      </c>
      <c r="F114" s="135">
        <v>0</v>
      </c>
      <c r="G114" s="135">
        <v>144.2</v>
      </c>
      <c r="H114" s="135">
        <v>144.2</v>
      </c>
      <c r="I114" s="121">
        <v>0</v>
      </c>
      <c r="J114" s="121">
        <f t="shared" si="8"/>
        <v>100</v>
      </c>
    </row>
    <row r="115" spans="1:10" ht="36">
      <c r="A115" s="134" t="s">
        <v>1313</v>
      </c>
      <c r="B115" s="124" t="s">
        <v>1594</v>
      </c>
      <c r="C115" s="124" t="s">
        <v>1296</v>
      </c>
      <c r="D115" s="124" t="s">
        <v>617</v>
      </c>
      <c r="E115" s="124" t="s">
        <v>1436</v>
      </c>
      <c r="F115" s="135">
        <v>0</v>
      </c>
      <c r="G115" s="135">
        <f>1177</f>
        <v>1177</v>
      </c>
      <c r="H115" s="135">
        <f>1177</f>
        <v>1177</v>
      </c>
      <c r="I115" s="121">
        <v>0</v>
      </c>
      <c r="J115" s="121">
        <f t="shared" si="8"/>
        <v>100</v>
      </c>
    </row>
    <row r="116" spans="1:10" ht="36">
      <c r="A116" s="134" t="s">
        <v>1526</v>
      </c>
      <c r="B116" s="124" t="s">
        <v>1594</v>
      </c>
      <c r="C116" s="124" t="s">
        <v>1296</v>
      </c>
      <c r="D116" s="124" t="s">
        <v>617</v>
      </c>
      <c r="E116" s="124" t="s">
        <v>1436</v>
      </c>
      <c r="F116" s="135">
        <v>0</v>
      </c>
      <c r="G116" s="135">
        <v>590.4</v>
      </c>
      <c r="H116" s="135">
        <v>590.4</v>
      </c>
      <c r="I116" s="121">
        <v>0</v>
      </c>
      <c r="J116" s="121">
        <f t="shared" si="8"/>
        <v>100</v>
      </c>
    </row>
    <row r="117" spans="1:10" ht="36">
      <c r="A117" s="134" t="s">
        <v>1527</v>
      </c>
      <c r="B117" s="124" t="s">
        <v>1594</v>
      </c>
      <c r="C117" s="124" t="s">
        <v>1296</v>
      </c>
      <c r="D117" s="124" t="s">
        <v>617</v>
      </c>
      <c r="E117" s="124" t="s">
        <v>1436</v>
      </c>
      <c r="F117" s="135">
        <v>0</v>
      </c>
      <c r="G117" s="135">
        <v>135</v>
      </c>
      <c r="H117" s="135">
        <v>135</v>
      </c>
      <c r="I117" s="121">
        <v>0</v>
      </c>
      <c r="J117" s="121">
        <f t="shared" si="8"/>
        <v>100</v>
      </c>
    </row>
    <row r="118" spans="1:10" ht="48">
      <c r="A118" s="134" t="s">
        <v>1016</v>
      </c>
      <c r="B118" s="124" t="s">
        <v>1594</v>
      </c>
      <c r="C118" s="124" t="s">
        <v>1296</v>
      </c>
      <c r="D118" s="124" t="s">
        <v>617</v>
      </c>
      <c r="E118" s="124" t="s">
        <v>1436</v>
      </c>
      <c r="F118" s="135">
        <v>0</v>
      </c>
      <c r="G118" s="135">
        <v>313.3</v>
      </c>
      <c r="H118" s="135">
        <v>313.3</v>
      </c>
      <c r="I118" s="121">
        <v>0</v>
      </c>
      <c r="J118" s="121">
        <f t="shared" si="8"/>
        <v>100</v>
      </c>
    </row>
    <row r="119" spans="1:10" ht="24">
      <c r="A119" s="134" t="s">
        <v>1017</v>
      </c>
      <c r="B119" s="124" t="s">
        <v>1594</v>
      </c>
      <c r="C119" s="124" t="s">
        <v>1296</v>
      </c>
      <c r="D119" s="124" t="s">
        <v>617</v>
      </c>
      <c r="E119" s="124" t="s">
        <v>1436</v>
      </c>
      <c r="F119" s="135">
        <v>0</v>
      </c>
      <c r="G119" s="135">
        <f>400+700</f>
        <v>1100</v>
      </c>
      <c r="H119" s="135">
        <f>400+700</f>
        <v>1100</v>
      </c>
      <c r="I119" s="121">
        <v>0</v>
      </c>
      <c r="J119" s="121">
        <f t="shared" si="8"/>
        <v>100</v>
      </c>
    </row>
    <row r="120" spans="1:10" ht="36">
      <c r="A120" s="134" t="s">
        <v>1284</v>
      </c>
      <c r="B120" s="124" t="s">
        <v>1594</v>
      </c>
      <c r="C120" s="124" t="s">
        <v>1296</v>
      </c>
      <c r="D120" s="124" t="s">
        <v>1285</v>
      </c>
      <c r="E120" s="124"/>
      <c r="F120" s="135"/>
      <c r="G120" s="135">
        <f>G121</f>
        <v>600</v>
      </c>
      <c r="H120" s="135">
        <f>H121</f>
        <v>228.6</v>
      </c>
      <c r="I120" s="121">
        <v>0</v>
      </c>
      <c r="J120" s="121">
        <f t="shared" si="8"/>
        <v>38.1</v>
      </c>
    </row>
    <row r="121" spans="1:10" ht="36">
      <c r="A121" s="129" t="s">
        <v>752</v>
      </c>
      <c r="B121" s="124" t="s">
        <v>1594</v>
      </c>
      <c r="C121" s="124" t="s">
        <v>1296</v>
      </c>
      <c r="D121" s="124" t="s">
        <v>1285</v>
      </c>
      <c r="E121" s="124" t="s">
        <v>751</v>
      </c>
      <c r="F121" s="135"/>
      <c r="G121" s="135">
        <f>G122</f>
        <v>600</v>
      </c>
      <c r="H121" s="135">
        <f>H122</f>
        <v>228.6</v>
      </c>
      <c r="I121" s="121">
        <v>0</v>
      </c>
      <c r="J121" s="121">
        <f t="shared" si="8"/>
        <v>38.1</v>
      </c>
    </row>
    <row r="122" spans="1:10" ht="15.75">
      <c r="A122" s="134" t="s">
        <v>1435</v>
      </c>
      <c r="B122" s="124" t="s">
        <v>1594</v>
      </c>
      <c r="C122" s="124" t="s">
        <v>1296</v>
      </c>
      <c r="D122" s="124" t="s">
        <v>1285</v>
      </c>
      <c r="E122" s="124" t="s">
        <v>1436</v>
      </c>
      <c r="F122" s="135"/>
      <c r="G122" s="135">
        <v>600</v>
      </c>
      <c r="H122" s="135">
        <v>228.6</v>
      </c>
      <c r="I122" s="121">
        <v>0</v>
      </c>
      <c r="J122" s="121">
        <f t="shared" si="8"/>
        <v>38.1</v>
      </c>
    </row>
    <row r="123" spans="1:10" ht="132">
      <c r="A123" s="142" t="s">
        <v>1314</v>
      </c>
      <c r="B123" s="124" t="s">
        <v>1594</v>
      </c>
      <c r="C123" s="124" t="s">
        <v>1296</v>
      </c>
      <c r="D123" s="124" t="s">
        <v>1679</v>
      </c>
      <c r="E123" s="124"/>
      <c r="F123" s="132">
        <f aca="true" t="shared" si="13" ref="F123:H124">F124</f>
        <v>8149</v>
      </c>
      <c r="G123" s="132">
        <f t="shared" si="13"/>
        <v>13447</v>
      </c>
      <c r="H123" s="132">
        <f t="shared" si="13"/>
        <v>6760.4</v>
      </c>
      <c r="I123" s="121">
        <f t="shared" si="7"/>
        <v>82.95987237697877</v>
      </c>
      <c r="J123" s="121">
        <f t="shared" si="8"/>
        <v>50.27441064921544</v>
      </c>
    </row>
    <row r="124" spans="1:10" ht="36">
      <c r="A124" s="129" t="s">
        <v>752</v>
      </c>
      <c r="B124" s="124" t="s">
        <v>1594</v>
      </c>
      <c r="C124" s="124" t="s">
        <v>1296</v>
      </c>
      <c r="D124" s="124" t="s">
        <v>1679</v>
      </c>
      <c r="E124" s="124" t="s">
        <v>751</v>
      </c>
      <c r="F124" s="132">
        <f t="shared" si="13"/>
        <v>8149</v>
      </c>
      <c r="G124" s="132">
        <f t="shared" si="13"/>
        <v>13447</v>
      </c>
      <c r="H124" s="132">
        <f t="shared" si="13"/>
        <v>6760.4</v>
      </c>
      <c r="I124" s="121">
        <f t="shared" si="7"/>
        <v>82.95987237697877</v>
      </c>
      <c r="J124" s="121">
        <f t="shared" si="8"/>
        <v>50.27441064921544</v>
      </c>
    </row>
    <row r="125" spans="1:10" ht="15.75">
      <c r="A125" s="134" t="s">
        <v>1435</v>
      </c>
      <c r="B125" s="124" t="s">
        <v>1594</v>
      </c>
      <c r="C125" s="124" t="s">
        <v>1296</v>
      </c>
      <c r="D125" s="124" t="s">
        <v>1679</v>
      </c>
      <c r="E125" s="124" t="s">
        <v>1436</v>
      </c>
      <c r="F125" s="135">
        <f>8149</f>
        <v>8149</v>
      </c>
      <c r="G125" s="135">
        <f>8149+5392-94</f>
        <v>13447</v>
      </c>
      <c r="H125" s="135">
        <v>6760.4</v>
      </c>
      <c r="I125" s="121">
        <f t="shared" si="7"/>
        <v>82.95987237697877</v>
      </c>
      <c r="J125" s="121">
        <f t="shared" si="8"/>
        <v>50.27441064921544</v>
      </c>
    </row>
    <row r="126" spans="1:10" ht="36">
      <c r="A126" s="129" t="s">
        <v>1004</v>
      </c>
      <c r="B126" s="124" t="s">
        <v>1594</v>
      </c>
      <c r="C126" s="124" t="s">
        <v>1296</v>
      </c>
      <c r="D126" s="124" t="s">
        <v>1357</v>
      </c>
      <c r="E126" s="124"/>
      <c r="F126" s="132">
        <f>F127+F129</f>
        <v>15271</v>
      </c>
      <c r="G126" s="132">
        <f>G127+G129</f>
        <v>18646</v>
      </c>
      <c r="H126" s="132">
        <f>H127+H129</f>
        <v>18404.9</v>
      </c>
      <c r="I126" s="121">
        <f t="shared" si="7"/>
        <v>120.52190426298213</v>
      </c>
      <c r="J126" s="121">
        <f t="shared" si="8"/>
        <v>98.70696127855841</v>
      </c>
    </row>
    <row r="127" spans="1:10" ht="24">
      <c r="A127" s="130" t="s">
        <v>1312</v>
      </c>
      <c r="B127" s="124" t="s">
        <v>1594</v>
      </c>
      <c r="C127" s="124" t="s">
        <v>1296</v>
      </c>
      <c r="D127" s="124" t="s">
        <v>1005</v>
      </c>
      <c r="E127" s="124" t="s">
        <v>1704</v>
      </c>
      <c r="F127" s="132">
        <f>F128</f>
        <v>5110</v>
      </c>
      <c r="G127" s="132">
        <f>G128</f>
        <v>5288.3</v>
      </c>
      <c r="H127" s="132">
        <f>H128</f>
        <v>5080.9</v>
      </c>
      <c r="I127" s="121">
        <f t="shared" si="7"/>
        <v>99.43052837573386</v>
      </c>
      <c r="J127" s="121">
        <f t="shared" si="8"/>
        <v>96.07813475029782</v>
      </c>
    </row>
    <row r="128" spans="1:10" ht="24">
      <c r="A128" s="130" t="s">
        <v>621</v>
      </c>
      <c r="B128" s="124" t="s">
        <v>1594</v>
      </c>
      <c r="C128" s="124" t="s">
        <v>1296</v>
      </c>
      <c r="D128" s="124" t="s">
        <v>1005</v>
      </c>
      <c r="E128" s="124" t="s">
        <v>1619</v>
      </c>
      <c r="F128" s="135">
        <v>5110</v>
      </c>
      <c r="G128" s="135">
        <f>5110+300+100-300+78.3</f>
        <v>5288.3</v>
      </c>
      <c r="H128" s="135">
        <v>5080.9</v>
      </c>
      <c r="I128" s="121">
        <f t="shared" si="7"/>
        <v>99.43052837573386</v>
      </c>
      <c r="J128" s="121">
        <f t="shared" si="8"/>
        <v>96.07813475029782</v>
      </c>
    </row>
    <row r="129" spans="1:10" ht="15.75">
      <c r="A129" s="130" t="s">
        <v>910</v>
      </c>
      <c r="B129" s="124" t="s">
        <v>1594</v>
      </c>
      <c r="C129" s="124" t="s">
        <v>1296</v>
      </c>
      <c r="D129" s="124" t="s">
        <v>1005</v>
      </c>
      <c r="E129" s="124" t="s">
        <v>911</v>
      </c>
      <c r="F129" s="132">
        <f>F130+F131+F132</f>
        <v>10161</v>
      </c>
      <c r="G129" s="132">
        <f>G130+G131+G132</f>
        <v>13357.699999999999</v>
      </c>
      <c r="H129" s="132">
        <f>H130+H131+H132</f>
        <v>13324</v>
      </c>
      <c r="I129" s="121">
        <f t="shared" si="7"/>
        <v>131.12882590296232</v>
      </c>
      <c r="J129" s="121">
        <f t="shared" si="8"/>
        <v>99.74771105804143</v>
      </c>
    </row>
    <row r="130" spans="1:10" ht="15.75">
      <c r="A130" s="130" t="s">
        <v>619</v>
      </c>
      <c r="B130" s="124" t="s">
        <v>1594</v>
      </c>
      <c r="C130" s="124" t="s">
        <v>1296</v>
      </c>
      <c r="D130" s="124" t="s">
        <v>1005</v>
      </c>
      <c r="E130" s="124" t="s">
        <v>620</v>
      </c>
      <c r="F130" s="135">
        <v>750</v>
      </c>
      <c r="G130" s="135">
        <v>2809.9</v>
      </c>
      <c r="H130" s="135">
        <v>2809.9</v>
      </c>
      <c r="I130" s="121">
        <f t="shared" si="7"/>
        <v>374.6533333333333</v>
      </c>
      <c r="J130" s="121">
        <f t="shared" si="8"/>
        <v>100</v>
      </c>
    </row>
    <row r="131" spans="1:10" ht="15.75">
      <c r="A131" s="130" t="s">
        <v>589</v>
      </c>
      <c r="B131" s="124" t="s">
        <v>1594</v>
      </c>
      <c r="C131" s="124" t="s">
        <v>1296</v>
      </c>
      <c r="D131" s="124" t="s">
        <v>1005</v>
      </c>
      <c r="E131" s="124" t="s">
        <v>590</v>
      </c>
      <c r="F131" s="135">
        <v>500</v>
      </c>
      <c r="G131" s="135">
        <v>1345.5</v>
      </c>
      <c r="H131" s="135">
        <v>1343.4</v>
      </c>
      <c r="I131" s="121">
        <f t="shared" si="7"/>
        <v>268.68</v>
      </c>
      <c r="J131" s="121">
        <f t="shared" si="8"/>
        <v>99.84392419175029</v>
      </c>
    </row>
    <row r="132" spans="1:10" ht="15.75">
      <c r="A132" s="129" t="s">
        <v>912</v>
      </c>
      <c r="B132" s="124" t="s">
        <v>1594</v>
      </c>
      <c r="C132" s="124" t="s">
        <v>1296</v>
      </c>
      <c r="D132" s="124" t="s">
        <v>1005</v>
      </c>
      <c r="E132" s="124" t="s">
        <v>913</v>
      </c>
      <c r="F132" s="135">
        <v>8911</v>
      </c>
      <c r="G132" s="135">
        <v>9202.3</v>
      </c>
      <c r="H132" s="135">
        <v>9170.7</v>
      </c>
      <c r="I132" s="121">
        <f t="shared" si="7"/>
        <v>102.91437549096622</v>
      </c>
      <c r="J132" s="121">
        <f t="shared" si="8"/>
        <v>99.65660758723365</v>
      </c>
    </row>
    <row r="133" spans="1:10" ht="48">
      <c r="A133" s="129" t="s">
        <v>888</v>
      </c>
      <c r="B133" s="124" t="s">
        <v>1594</v>
      </c>
      <c r="C133" s="124" t="s">
        <v>1296</v>
      </c>
      <c r="D133" s="124" t="s">
        <v>1059</v>
      </c>
      <c r="E133" s="124"/>
      <c r="F133" s="132">
        <f>F134+F136+F138+F140+F142</f>
        <v>9193.1</v>
      </c>
      <c r="G133" s="132">
        <f>G134+G136+G138+G140+G142</f>
        <v>13110.200000000006</v>
      </c>
      <c r="H133" s="132">
        <f>H134+H136+H138+H140+H142</f>
        <v>12878.5</v>
      </c>
      <c r="I133" s="121">
        <f t="shared" si="7"/>
        <v>140.0887622238418</v>
      </c>
      <c r="J133" s="121">
        <f t="shared" si="8"/>
        <v>98.23267379597561</v>
      </c>
    </row>
    <row r="134" spans="1:10" ht="15.75">
      <c r="A134" s="130" t="s">
        <v>910</v>
      </c>
      <c r="B134" s="124" t="s">
        <v>1594</v>
      </c>
      <c r="C134" s="124" t="s">
        <v>1296</v>
      </c>
      <c r="D134" s="124" t="s">
        <v>1060</v>
      </c>
      <c r="E134" s="124" t="s">
        <v>911</v>
      </c>
      <c r="F134" s="132">
        <f>F135</f>
        <v>3594</v>
      </c>
      <c r="G134" s="132">
        <f>G135</f>
        <v>1948</v>
      </c>
      <c r="H134" s="132">
        <f>H135</f>
        <v>1947.5</v>
      </c>
      <c r="I134" s="121">
        <f t="shared" si="7"/>
        <v>54.1875347801892</v>
      </c>
      <c r="J134" s="121">
        <f t="shared" si="8"/>
        <v>99.97433264887063</v>
      </c>
    </row>
    <row r="135" spans="1:10" ht="15.75">
      <c r="A135" s="130" t="s">
        <v>589</v>
      </c>
      <c r="B135" s="124" t="s">
        <v>1594</v>
      </c>
      <c r="C135" s="124" t="s">
        <v>1296</v>
      </c>
      <c r="D135" s="124" t="s">
        <v>1060</v>
      </c>
      <c r="E135" s="124" t="s">
        <v>590</v>
      </c>
      <c r="F135" s="135">
        <v>3594</v>
      </c>
      <c r="G135" s="135">
        <f>17085-13491-1415-231</f>
        <v>1948</v>
      </c>
      <c r="H135" s="135">
        <v>1947.5</v>
      </c>
      <c r="I135" s="121">
        <f t="shared" si="7"/>
        <v>54.1875347801892</v>
      </c>
      <c r="J135" s="121">
        <f t="shared" si="8"/>
        <v>99.97433264887063</v>
      </c>
    </row>
    <row r="136" spans="1:10" ht="72">
      <c r="A136" s="130" t="s">
        <v>1311</v>
      </c>
      <c r="B136" s="124" t="s">
        <v>1594</v>
      </c>
      <c r="C136" s="124" t="s">
        <v>1296</v>
      </c>
      <c r="D136" s="124" t="s">
        <v>1061</v>
      </c>
      <c r="E136" s="124" t="s">
        <v>1462</v>
      </c>
      <c r="F136" s="132">
        <f>F137</f>
        <v>3285</v>
      </c>
      <c r="G136" s="132">
        <f>G137</f>
        <v>5341.799999999999</v>
      </c>
      <c r="H136" s="132">
        <f>H137</f>
        <v>5289.6</v>
      </c>
      <c r="I136" s="121">
        <f t="shared" si="7"/>
        <v>161.02283105022832</v>
      </c>
      <c r="J136" s="121">
        <f t="shared" si="8"/>
        <v>99.02280130293161</v>
      </c>
    </row>
    <row r="137" spans="1:10" ht="24">
      <c r="A137" s="129" t="s">
        <v>105</v>
      </c>
      <c r="B137" s="124" t="s">
        <v>1594</v>
      </c>
      <c r="C137" s="124" t="s">
        <v>1296</v>
      </c>
      <c r="D137" s="124" t="s">
        <v>1061</v>
      </c>
      <c r="E137" s="124" t="s">
        <v>106</v>
      </c>
      <c r="F137" s="135">
        <v>3285</v>
      </c>
      <c r="G137" s="135">
        <f>3285+1427+562.9-0.1+67</f>
        <v>5341.799999999999</v>
      </c>
      <c r="H137" s="135">
        <v>5289.6</v>
      </c>
      <c r="I137" s="121">
        <f t="shared" si="7"/>
        <v>161.02283105022832</v>
      </c>
      <c r="J137" s="121">
        <f t="shared" si="8"/>
        <v>99.02280130293161</v>
      </c>
    </row>
    <row r="138" spans="1:10" ht="24">
      <c r="A138" s="130" t="s">
        <v>1312</v>
      </c>
      <c r="B138" s="124" t="s">
        <v>1594</v>
      </c>
      <c r="C138" s="124" t="s">
        <v>1296</v>
      </c>
      <c r="D138" s="124" t="s">
        <v>1061</v>
      </c>
      <c r="E138" s="124" t="s">
        <v>1704</v>
      </c>
      <c r="F138" s="132">
        <f>F139</f>
        <v>2308.1</v>
      </c>
      <c r="G138" s="132">
        <f>G139</f>
        <v>5807.700000000006</v>
      </c>
      <c r="H138" s="132">
        <f>H139</f>
        <v>5638</v>
      </c>
      <c r="I138" s="121">
        <f t="shared" si="7"/>
        <v>244.27017893505482</v>
      </c>
      <c r="J138" s="121">
        <f t="shared" si="8"/>
        <v>97.07801711520901</v>
      </c>
    </row>
    <row r="139" spans="1:10" ht="24">
      <c r="A139" s="130" t="s">
        <v>1406</v>
      </c>
      <c r="B139" s="124" t="s">
        <v>1594</v>
      </c>
      <c r="C139" s="124" t="s">
        <v>1296</v>
      </c>
      <c r="D139" s="124" t="s">
        <v>1061</v>
      </c>
      <c r="E139" s="124" t="s">
        <v>1619</v>
      </c>
      <c r="F139" s="135">
        <v>2308.1</v>
      </c>
      <c r="G139" s="135">
        <f>47927.8-45619.7-562.9-6.7+2404.1+1293+0.1-28+85+400-85</f>
        <v>5807.700000000006</v>
      </c>
      <c r="H139" s="135">
        <v>5638</v>
      </c>
      <c r="I139" s="121">
        <f t="shared" si="7"/>
        <v>244.27017893505482</v>
      </c>
      <c r="J139" s="121">
        <f t="shared" si="8"/>
        <v>97.07801711520901</v>
      </c>
    </row>
    <row r="140" spans="1:10" ht="15.75">
      <c r="A140" s="130" t="s">
        <v>910</v>
      </c>
      <c r="B140" s="124" t="s">
        <v>1594</v>
      </c>
      <c r="C140" s="124" t="s">
        <v>1296</v>
      </c>
      <c r="D140" s="124" t="s">
        <v>1061</v>
      </c>
      <c r="E140" s="124" t="s">
        <v>911</v>
      </c>
      <c r="F140" s="132">
        <f>F141</f>
        <v>6</v>
      </c>
      <c r="G140" s="132">
        <f>G141</f>
        <v>12.7</v>
      </c>
      <c r="H140" s="132">
        <f>H141</f>
        <v>3.4</v>
      </c>
      <c r="I140" s="121">
        <f t="shared" si="7"/>
        <v>56.666666666666664</v>
      </c>
      <c r="J140" s="121">
        <f t="shared" si="8"/>
        <v>26.77165354330709</v>
      </c>
    </row>
    <row r="141" spans="1:10" ht="15.75">
      <c r="A141" s="130" t="s">
        <v>589</v>
      </c>
      <c r="B141" s="124" t="s">
        <v>1594</v>
      </c>
      <c r="C141" s="124" t="s">
        <v>1296</v>
      </c>
      <c r="D141" s="124" t="s">
        <v>1061</v>
      </c>
      <c r="E141" s="124" t="s">
        <v>590</v>
      </c>
      <c r="F141" s="135">
        <v>6</v>
      </c>
      <c r="G141" s="135">
        <f>6+6.7</f>
        <v>12.7</v>
      </c>
      <c r="H141" s="135">
        <v>3.4</v>
      </c>
      <c r="I141" s="121">
        <f t="shared" si="7"/>
        <v>56.666666666666664</v>
      </c>
      <c r="J141" s="121">
        <f t="shared" si="8"/>
        <v>26.77165354330709</v>
      </c>
    </row>
    <row r="142" spans="1:10" ht="24">
      <c r="A142" s="130" t="s">
        <v>1312</v>
      </c>
      <c r="B142" s="124" t="s">
        <v>1594</v>
      </c>
      <c r="C142" s="124" t="s">
        <v>1296</v>
      </c>
      <c r="D142" s="124" t="s">
        <v>447</v>
      </c>
      <c r="E142" s="124" t="s">
        <v>1704</v>
      </c>
      <c r="F142" s="132">
        <f>F143</f>
        <v>0</v>
      </c>
      <c r="G142" s="132">
        <f>G143</f>
        <v>0</v>
      </c>
      <c r="H142" s="132">
        <f>H143</f>
        <v>0</v>
      </c>
      <c r="I142" s="121">
        <v>0</v>
      </c>
      <c r="J142" s="121">
        <v>0</v>
      </c>
    </row>
    <row r="143" spans="1:10" ht="24">
      <c r="A143" s="130" t="s">
        <v>1406</v>
      </c>
      <c r="B143" s="124" t="s">
        <v>1594</v>
      </c>
      <c r="C143" s="124" t="s">
        <v>1296</v>
      </c>
      <c r="D143" s="124" t="s">
        <v>447</v>
      </c>
      <c r="E143" s="124" t="s">
        <v>1619</v>
      </c>
      <c r="F143" s="135">
        <f>14125.6-14125.6</f>
        <v>0</v>
      </c>
      <c r="G143" s="135">
        <f>14125.6-14125.6</f>
        <v>0</v>
      </c>
      <c r="H143" s="135">
        <f>14125.6-14125.6</f>
        <v>0</v>
      </c>
      <c r="I143" s="121">
        <v>0</v>
      </c>
      <c r="J143" s="121">
        <v>0</v>
      </c>
    </row>
    <row r="144" spans="1:10" ht="36">
      <c r="A144" s="129" t="s">
        <v>1006</v>
      </c>
      <c r="B144" s="124" t="s">
        <v>1594</v>
      </c>
      <c r="C144" s="124" t="s">
        <v>1296</v>
      </c>
      <c r="D144" s="124" t="s">
        <v>1007</v>
      </c>
      <c r="E144" s="124"/>
      <c r="F144" s="132">
        <f>F145+F147+F149+F151</f>
        <v>5775</v>
      </c>
      <c r="G144" s="132">
        <f>G145+G147+G149+G151</f>
        <v>5875</v>
      </c>
      <c r="H144" s="132">
        <f>H145+H147+H149+H151</f>
        <v>5821.1</v>
      </c>
      <c r="I144" s="121">
        <f aca="true" t="shared" si="14" ref="I144:I207">H144/F144*100</f>
        <v>100.79826839826839</v>
      </c>
      <c r="J144" s="121">
        <f aca="true" t="shared" si="15" ref="J144:J206">H144/G144*100</f>
        <v>99.08255319148937</v>
      </c>
    </row>
    <row r="145" spans="1:10" ht="15.75">
      <c r="A145" s="130" t="s">
        <v>910</v>
      </c>
      <c r="B145" s="124" t="s">
        <v>1594</v>
      </c>
      <c r="C145" s="124" t="s">
        <v>1296</v>
      </c>
      <c r="D145" s="124" t="s">
        <v>1008</v>
      </c>
      <c r="E145" s="124" t="s">
        <v>911</v>
      </c>
      <c r="F145" s="132">
        <f>F146</f>
        <v>3</v>
      </c>
      <c r="G145" s="132">
        <f>G146</f>
        <v>3</v>
      </c>
      <c r="H145" s="132">
        <f>H146</f>
        <v>0.2</v>
      </c>
      <c r="I145" s="121">
        <f t="shared" si="14"/>
        <v>6.666666666666667</v>
      </c>
      <c r="J145" s="121">
        <f t="shared" si="15"/>
        <v>6.666666666666667</v>
      </c>
    </row>
    <row r="146" spans="1:10" ht="15.75">
      <c r="A146" s="130" t="s">
        <v>589</v>
      </c>
      <c r="B146" s="124" t="s">
        <v>1594</v>
      </c>
      <c r="C146" s="124" t="s">
        <v>1296</v>
      </c>
      <c r="D146" s="124" t="s">
        <v>1008</v>
      </c>
      <c r="E146" s="124" t="s">
        <v>590</v>
      </c>
      <c r="F146" s="135">
        <v>3</v>
      </c>
      <c r="G146" s="135">
        <v>3</v>
      </c>
      <c r="H146" s="135">
        <v>0.2</v>
      </c>
      <c r="I146" s="121">
        <f t="shared" si="14"/>
        <v>6.666666666666667</v>
      </c>
      <c r="J146" s="121">
        <f t="shared" si="15"/>
        <v>6.666666666666667</v>
      </c>
    </row>
    <row r="147" spans="1:10" ht="72">
      <c r="A147" s="130" t="s">
        <v>1311</v>
      </c>
      <c r="B147" s="124" t="s">
        <v>1594</v>
      </c>
      <c r="C147" s="124" t="s">
        <v>1296</v>
      </c>
      <c r="D147" s="124" t="s">
        <v>1009</v>
      </c>
      <c r="E147" s="124" t="s">
        <v>1462</v>
      </c>
      <c r="F147" s="132">
        <f>F148</f>
        <v>4626</v>
      </c>
      <c r="G147" s="132">
        <f>G148</f>
        <v>4923.3</v>
      </c>
      <c r="H147" s="132">
        <f>H148</f>
        <v>4918.3</v>
      </c>
      <c r="I147" s="121">
        <f t="shared" si="14"/>
        <v>106.31863380890618</v>
      </c>
      <c r="J147" s="121">
        <f t="shared" si="15"/>
        <v>99.89844210184225</v>
      </c>
    </row>
    <row r="148" spans="1:10" ht="24">
      <c r="A148" s="129" t="s">
        <v>105</v>
      </c>
      <c r="B148" s="124" t="s">
        <v>1594</v>
      </c>
      <c r="C148" s="124" t="s">
        <v>1296</v>
      </c>
      <c r="D148" s="124" t="s">
        <v>1009</v>
      </c>
      <c r="E148" s="124" t="s">
        <v>106</v>
      </c>
      <c r="F148" s="135">
        <v>4626</v>
      </c>
      <c r="G148" s="135">
        <f>4626+100+197.3</f>
        <v>4923.3</v>
      </c>
      <c r="H148" s="135">
        <v>4918.3</v>
      </c>
      <c r="I148" s="121">
        <f t="shared" si="14"/>
        <v>106.31863380890618</v>
      </c>
      <c r="J148" s="121">
        <f t="shared" si="15"/>
        <v>99.89844210184225</v>
      </c>
    </row>
    <row r="149" spans="1:10" ht="24">
      <c r="A149" s="130" t="s">
        <v>1312</v>
      </c>
      <c r="B149" s="124" t="s">
        <v>1594</v>
      </c>
      <c r="C149" s="124" t="s">
        <v>1296</v>
      </c>
      <c r="D149" s="124" t="s">
        <v>1009</v>
      </c>
      <c r="E149" s="124" t="s">
        <v>1704</v>
      </c>
      <c r="F149" s="132">
        <f>F150</f>
        <v>1142</v>
      </c>
      <c r="G149" s="132">
        <f>G150</f>
        <v>944.7</v>
      </c>
      <c r="H149" s="132">
        <f>H150</f>
        <v>899.1</v>
      </c>
      <c r="I149" s="121">
        <f t="shared" si="14"/>
        <v>78.73029772329248</v>
      </c>
      <c r="J149" s="121">
        <f t="shared" si="15"/>
        <v>95.1730708161321</v>
      </c>
    </row>
    <row r="150" spans="1:10" ht="24">
      <c r="A150" s="130" t="s">
        <v>621</v>
      </c>
      <c r="B150" s="124" t="s">
        <v>1594</v>
      </c>
      <c r="C150" s="124" t="s">
        <v>1296</v>
      </c>
      <c r="D150" s="124" t="s">
        <v>1009</v>
      </c>
      <c r="E150" s="124" t="s">
        <v>1619</v>
      </c>
      <c r="F150" s="135">
        <v>1142</v>
      </c>
      <c r="G150" s="135">
        <f>1142-197.3</f>
        <v>944.7</v>
      </c>
      <c r="H150" s="135">
        <v>899.1</v>
      </c>
      <c r="I150" s="121">
        <f t="shared" si="14"/>
        <v>78.73029772329248</v>
      </c>
      <c r="J150" s="121">
        <f t="shared" si="15"/>
        <v>95.1730708161321</v>
      </c>
    </row>
    <row r="151" spans="1:10" ht="15.75">
      <c r="A151" s="130" t="s">
        <v>910</v>
      </c>
      <c r="B151" s="124" t="s">
        <v>1594</v>
      </c>
      <c r="C151" s="124" t="s">
        <v>1296</v>
      </c>
      <c r="D151" s="124" t="s">
        <v>1009</v>
      </c>
      <c r="E151" s="124" t="s">
        <v>911</v>
      </c>
      <c r="F151" s="132">
        <f>F152</f>
        <v>4</v>
      </c>
      <c r="G151" s="132">
        <f>G152</f>
        <v>4</v>
      </c>
      <c r="H151" s="132">
        <f>H152</f>
        <v>3.5</v>
      </c>
      <c r="I151" s="121">
        <f t="shared" si="14"/>
        <v>87.5</v>
      </c>
      <c r="J151" s="121">
        <f t="shared" si="15"/>
        <v>87.5</v>
      </c>
    </row>
    <row r="152" spans="1:10" ht="15.75">
      <c r="A152" s="130" t="s">
        <v>589</v>
      </c>
      <c r="B152" s="124" t="s">
        <v>1594</v>
      </c>
      <c r="C152" s="124" t="s">
        <v>1296</v>
      </c>
      <c r="D152" s="124" t="s">
        <v>1009</v>
      </c>
      <c r="E152" s="124" t="s">
        <v>590</v>
      </c>
      <c r="F152" s="135">
        <v>4</v>
      </c>
      <c r="G152" s="135">
        <v>4</v>
      </c>
      <c r="H152" s="135">
        <v>3.5</v>
      </c>
      <c r="I152" s="121">
        <f t="shared" si="14"/>
        <v>87.5</v>
      </c>
      <c r="J152" s="121">
        <f t="shared" si="15"/>
        <v>87.5</v>
      </c>
    </row>
    <row r="153" spans="1:10" ht="48">
      <c r="A153" s="129" t="s">
        <v>1225</v>
      </c>
      <c r="B153" s="124" t="s">
        <v>1594</v>
      </c>
      <c r="C153" s="124" t="s">
        <v>1296</v>
      </c>
      <c r="D153" s="124" t="s">
        <v>1010</v>
      </c>
      <c r="E153" s="124"/>
      <c r="F153" s="132">
        <f>F154+F159</f>
        <v>38134.5</v>
      </c>
      <c r="G153" s="132">
        <f>G154+G159</f>
        <v>28952.999999999996</v>
      </c>
      <c r="H153" s="132">
        <f>H154+H159</f>
        <v>28901.7</v>
      </c>
      <c r="I153" s="121">
        <f t="shared" si="14"/>
        <v>75.78885261377492</v>
      </c>
      <c r="J153" s="121">
        <f t="shared" si="15"/>
        <v>99.82281628846754</v>
      </c>
    </row>
    <row r="154" spans="1:10" ht="24">
      <c r="A154" s="134" t="s">
        <v>1709</v>
      </c>
      <c r="B154" s="124" t="s">
        <v>1594</v>
      </c>
      <c r="C154" s="124" t="s">
        <v>1296</v>
      </c>
      <c r="D154" s="124" t="s">
        <v>1011</v>
      </c>
      <c r="E154" s="124"/>
      <c r="F154" s="132">
        <f>F155+F157</f>
        <v>38131.5</v>
      </c>
      <c r="G154" s="132">
        <f>G155+G157</f>
        <v>25842.199999999997</v>
      </c>
      <c r="H154" s="132">
        <f>H155+H157</f>
        <v>25792.8</v>
      </c>
      <c r="I154" s="121">
        <f t="shared" si="14"/>
        <v>67.64171354392037</v>
      </c>
      <c r="J154" s="121">
        <f t="shared" si="15"/>
        <v>99.8088398046606</v>
      </c>
    </row>
    <row r="155" spans="1:10" ht="72">
      <c r="A155" s="130" t="s">
        <v>1311</v>
      </c>
      <c r="B155" s="124" t="s">
        <v>1594</v>
      </c>
      <c r="C155" s="124" t="s">
        <v>1296</v>
      </c>
      <c r="D155" s="124" t="s">
        <v>1011</v>
      </c>
      <c r="E155" s="124" t="s">
        <v>1462</v>
      </c>
      <c r="F155" s="132">
        <f>F156</f>
        <v>37512.2</v>
      </c>
      <c r="G155" s="132">
        <f>G156</f>
        <v>23433.199999999997</v>
      </c>
      <c r="H155" s="132">
        <f>H156</f>
        <v>23432.7</v>
      </c>
      <c r="I155" s="121">
        <f t="shared" si="14"/>
        <v>62.4668774425387</v>
      </c>
      <c r="J155" s="121">
        <f t="shared" si="15"/>
        <v>99.99786627519931</v>
      </c>
    </row>
    <row r="156" spans="1:10" ht="24">
      <c r="A156" s="130" t="s">
        <v>1039</v>
      </c>
      <c r="B156" s="124" t="s">
        <v>1594</v>
      </c>
      <c r="C156" s="124" t="s">
        <v>1296</v>
      </c>
      <c r="D156" s="124" t="s">
        <v>1011</v>
      </c>
      <c r="E156" s="124" t="s">
        <v>1432</v>
      </c>
      <c r="F156" s="135">
        <f>37512.2</f>
        <v>37512.2</v>
      </c>
      <c r="G156" s="135">
        <f>37512.2-14079</f>
        <v>23433.199999999997</v>
      </c>
      <c r="H156" s="135">
        <v>23432.7</v>
      </c>
      <c r="I156" s="121">
        <f t="shared" si="14"/>
        <v>62.4668774425387</v>
      </c>
      <c r="J156" s="121">
        <f t="shared" si="15"/>
        <v>99.99786627519931</v>
      </c>
    </row>
    <row r="157" spans="1:10" ht="24">
      <c r="A157" s="130" t="s">
        <v>1312</v>
      </c>
      <c r="B157" s="124" t="s">
        <v>1594</v>
      </c>
      <c r="C157" s="124" t="s">
        <v>1296</v>
      </c>
      <c r="D157" s="124" t="s">
        <v>1011</v>
      </c>
      <c r="E157" s="124" t="s">
        <v>1704</v>
      </c>
      <c r="F157" s="132">
        <f>F158</f>
        <v>619.3</v>
      </c>
      <c r="G157" s="132">
        <f>G158</f>
        <v>2409</v>
      </c>
      <c r="H157" s="132">
        <f>H158</f>
        <v>2360.1</v>
      </c>
      <c r="I157" s="121">
        <f t="shared" si="14"/>
        <v>381.09155498143065</v>
      </c>
      <c r="J157" s="121">
        <f t="shared" si="15"/>
        <v>97.97011207970112</v>
      </c>
    </row>
    <row r="158" spans="1:10" ht="24">
      <c r="A158" s="130" t="s">
        <v>1406</v>
      </c>
      <c r="B158" s="124" t="s">
        <v>1594</v>
      </c>
      <c r="C158" s="124" t="s">
        <v>1296</v>
      </c>
      <c r="D158" s="124" t="s">
        <v>1011</v>
      </c>
      <c r="E158" s="124" t="s">
        <v>1619</v>
      </c>
      <c r="F158" s="135">
        <v>619.3</v>
      </c>
      <c r="G158" s="135">
        <v>2409</v>
      </c>
      <c r="H158" s="135">
        <v>2360.1</v>
      </c>
      <c r="I158" s="121">
        <f t="shared" si="14"/>
        <v>381.09155498143065</v>
      </c>
      <c r="J158" s="121">
        <f t="shared" si="15"/>
        <v>97.97011207970112</v>
      </c>
    </row>
    <row r="159" spans="1:10" ht="15.75">
      <c r="A159" s="130" t="s">
        <v>910</v>
      </c>
      <c r="B159" s="124" t="s">
        <v>1594</v>
      </c>
      <c r="C159" s="124" t="s">
        <v>1296</v>
      </c>
      <c r="D159" s="124" t="s">
        <v>1247</v>
      </c>
      <c r="E159" s="124" t="s">
        <v>911</v>
      </c>
      <c r="F159" s="132">
        <f>F160</f>
        <v>3</v>
      </c>
      <c r="G159" s="132">
        <f>G160</f>
        <v>3110.8</v>
      </c>
      <c r="H159" s="132">
        <f>H160</f>
        <v>3108.9</v>
      </c>
      <c r="I159" s="121">
        <f t="shared" si="14"/>
        <v>103630</v>
      </c>
      <c r="J159" s="121">
        <f t="shared" si="15"/>
        <v>99.93892246367494</v>
      </c>
    </row>
    <row r="160" spans="1:10" ht="15.75">
      <c r="A160" s="130" t="s">
        <v>589</v>
      </c>
      <c r="B160" s="124" t="s">
        <v>1594</v>
      </c>
      <c r="C160" s="124" t="s">
        <v>1296</v>
      </c>
      <c r="D160" s="124" t="s">
        <v>1247</v>
      </c>
      <c r="E160" s="124" t="s">
        <v>590</v>
      </c>
      <c r="F160" s="135">
        <v>3</v>
      </c>
      <c r="G160" s="135">
        <v>3110.8</v>
      </c>
      <c r="H160" s="135">
        <v>3108.9</v>
      </c>
      <c r="I160" s="121">
        <f t="shared" si="14"/>
        <v>103630</v>
      </c>
      <c r="J160" s="121">
        <f t="shared" si="15"/>
        <v>99.93892246367494</v>
      </c>
    </row>
    <row r="161" spans="1:10" ht="108">
      <c r="A161" s="129" t="s">
        <v>1226</v>
      </c>
      <c r="B161" s="124" t="s">
        <v>1594</v>
      </c>
      <c r="C161" s="124" t="s">
        <v>1296</v>
      </c>
      <c r="D161" s="124" t="s">
        <v>1248</v>
      </c>
      <c r="E161" s="124"/>
      <c r="F161" s="132">
        <f>F162+F164+F167+F169</f>
        <v>3538.4</v>
      </c>
      <c r="G161" s="132">
        <f>G162+G164+G169</f>
        <v>354229.6</v>
      </c>
      <c r="H161" s="132">
        <f>H162+H164+H169</f>
        <v>353774.3</v>
      </c>
      <c r="I161" s="121">
        <f t="shared" si="14"/>
        <v>9998.143228577888</v>
      </c>
      <c r="J161" s="121">
        <f t="shared" si="15"/>
        <v>99.87146754534348</v>
      </c>
    </row>
    <row r="162" spans="1:10" ht="24">
      <c r="A162" s="130" t="s">
        <v>1312</v>
      </c>
      <c r="B162" s="124" t="s">
        <v>1594</v>
      </c>
      <c r="C162" s="124" t="s">
        <v>1296</v>
      </c>
      <c r="D162" s="124" t="s">
        <v>889</v>
      </c>
      <c r="E162" s="124" t="s">
        <v>1704</v>
      </c>
      <c r="F162" s="132">
        <f>F163</f>
        <v>0</v>
      </c>
      <c r="G162" s="132">
        <f>G163</f>
        <v>40</v>
      </c>
      <c r="H162" s="132">
        <f>H163</f>
        <v>35.1</v>
      </c>
      <c r="I162" s="121">
        <v>0</v>
      </c>
      <c r="J162" s="121">
        <f t="shared" si="15"/>
        <v>87.75</v>
      </c>
    </row>
    <row r="163" spans="1:10" ht="24">
      <c r="A163" s="130" t="s">
        <v>621</v>
      </c>
      <c r="B163" s="124" t="s">
        <v>1594</v>
      </c>
      <c r="C163" s="124" t="s">
        <v>1296</v>
      </c>
      <c r="D163" s="124" t="s">
        <v>889</v>
      </c>
      <c r="E163" s="124" t="s">
        <v>1619</v>
      </c>
      <c r="F163" s="138">
        <v>0</v>
      </c>
      <c r="G163" s="138">
        <f>100+300-15-90-15-200-10+100-130</f>
        <v>40</v>
      </c>
      <c r="H163" s="138">
        <v>35.1</v>
      </c>
      <c r="I163" s="121">
        <v>0</v>
      </c>
      <c r="J163" s="121">
        <f t="shared" si="15"/>
        <v>87.75</v>
      </c>
    </row>
    <row r="164" spans="1:10" ht="24">
      <c r="A164" s="130" t="s">
        <v>1312</v>
      </c>
      <c r="B164" s="124" t="s">
        <v>1594</v>
      </c>
      <c r="C164" s="124" t="s">
        <v>1296</v>
      </c>
      <c r="D164" s="124" t="s">
        <v>434</v>
      </c>
      <c r="E164" s="124" t="s">
        <v>1704</v>
      </c>
      <c r="F164" s="132">
        <f>F165</f>
        <v>3538.4</v>
      </c>
      <c r="G164" s="132">
        <f>G165+G167</f>
        <v>352189.6</v>
      </c>
      <c r="H164" s="132">
        <f>H165+H167</f>
        <v>351739.2</v>
      </c>
      <c r="I164" s="121">
        <f t="shared" si="14"/>
        <v>9940.628532670135</v>
      </c>
      <c r="J164" s="121">
        <f t="shared" si="15"/>
        <v>99.87211433841318</v>
      </c>
    </row>
    <row r="165" spans="1:10" ht="24">
      <c r="A165" s="130" t="s">
        <v>621</v>
      </c>
      <c r="B165" s="124" t="s">
        <v>1594</v>
      </c>
      <c r="C165" s="124" t="s">
        <v>1296</v>
      </c>
      <c r="D165" s="124" t="s">
        <v>434</v>
      </c>
      <c r="E165" s="124" t="s">
        <v>1619</v>
      </c>
      <c r="F165" s="135">
        <f>3538.4</f>
        <v>3538.4</v>
      </c>
      <c r="G165" s="135">
        <v>352047.6</v>
      </c>
      <c r="H165" s="135">
        <v>351609.2</v>
      </c>
      <c r="I165" s="121">
        <f t="shared" si="14"/>
        <v>9936.954555731405</v>
      </c>
      <c r="J165" s="121">
        <f t="shared" si="15"/>
        <v>99.87547138511952</v>
      </c>
    </row>
    <row r="166" spans="1:10" ht="26.25" customHeight="1">
      <c r="A166" s="130" t="s">
        <v>133</v>
      </c>
      <c r="B166" s="124" t="s">
        <v>1594</v>
      </c>
      <c r="C166" s="124" t="s">
        <v>1296</v>
      </c>
      <c r="D166" s="124" t="s">
        <v>434</v>
      </c>
      <c r="E166" s="124" t="s">
        <v>1619</v>
      </c>
      <c r="F166" s="135">
        <v>0</v>
      </c>
      <c r="G166" s="135">
        <f>40000+6294.7+25350+12100+60+7580+930+20112+23000+27641.8+20000+1700+6000+22326+10+14000+103910.6+12000</f>
        <v>343015.1</v>
      </c>
      <c r="H166" s="135">
        <f>40000+6294.7+25350+12100+60+7580+930+20112+23000+27641.8+20000+1700+6000+22326+10+14000+103910.6+12000</f>
        <v>343015.1</v>
      </c>
      <c r="I166" s="121">
        <v>0</v>
      </c>
      <c r="J166" s="121">
        <f t="shared" si="15"/>
        <v>100</v>
      </c>
    </row>
    <row r="167" spans="1:10" ht="15.75">
      <c r="A167" s="130" t="s">
        <v>910</v>
      </c>
      <c r="B167" s="124" t="s">
        <v>1594</v>
      </c>
      <c r="C167" s="124" t="s">
        <v>1296</v>
      </c>
      <c r="D167" s="124" t="s">
        <v>434</v>
      </c>
      <c r="E167" s="124" t="s">
        <v>911</v>
      </c>
      <c r="F167" s="135">
        <f>F168</f>
        <v>0</v>
      </c>
      <c r="G167" s="135">
        <f>G168</f>
        <v>142</v>
      </c>
      <c r="H167" s="135">
        <f>H168</f>
        <v>130</v>
      </c>
      <c r="I167" s="121">
        <v>0</v>
      </c>
      <c r="J167" s="121">
        <f t="shared" si="15"/>
        <v>91.54929577464789</v>
      </c>
    </row>
    <row r="168" spans="1:10" ht="15.75">
      <c r="A168" s="130" t="s">
        <v>589</v>
      </c>
      <c r="B168" s="124" t="s">
        <v>1594</v>
      </c>
      <c r="C168" s="124" t="s">
        <v>1296</v>
      </c>
      <c r="D168" s="124" t="s">
        <v>434</v>
      </c>
      <c r="E168" s="124" t="s">
        <v>590</v>
      </c>
      <c r="F168" s="135">
        <v>0</v>
      </c>
      <c r="G168" s="135">
        <v>142</v>
      </c>
      <c r="H168" s="135">
        <v>130</v>
      </c>
      <c r="I168" s="121">
        <v>0</v>
      </c>
      <c r="J168" s="121">
        <f t="shared" si="15"/>
        <v>91.54929577464789</v>
      </c>
    </row>
    <row r="169" spans="1:10" ht="48">
      <c r="A169" s="130" t="s">
        <v>659</v>
      </c>
      <c r="B169" s="124" t="s">
        <v>1594</v>
      </c>
      <c r="C169" s="124" t="s">
        <v>1296</v>
      </c>
      <c r="D169" s="124" t="s">
        <v>1018</v>
      </c>
      <c r="E169" s="124"/>
      <c r="F169" s="132">
        <f aca="true" t="shared" si="16" ref="F169:H170">F170</f>
        <v>0</v>
      </c>
      <c r="G169" s="132">
        <f t="shared" si="16"/>
        <v>2000</v>
      </c>
      <c r="H169" s="132">
        <f t="shared" si="16"/>
        <v>2000</v>
      </c>
      <c r="I169" s="121">
        <v>0</v>
      </c>
      <c r="J169" s="121">
        <f t="shared" si="15"/>
        <v>100</v>
      </c>
    </row>
    <row r="170" spans="1:10" ht="36">
      <c r="A170" s="129" t="s">
        <v>752</v>
      </c>
      <c r="B170" s="124" t="s">
        <v>1594</v>
      </c>
      <c r="C170" s="124" t="s">
        <v>1296</v>
      </c>
      <c r="D170" s="124" t="s">
        <v>1018</v>
      </c>
      <c r="E170" s="124" t="s">
        <v>751</v>
      </c>
      <c r="F170" s="132">
        <f t="shared" si="16"/>
        <v>0</v>
      </c>
      <c r="G170" s="132">
        <f t="shared" si="16"/>
        <v>2000</v>
      </c>
      <c r="H170" s="132">
        <f t="shared" si="16"/>
        <v>2000</v>
      </c>
      <c r="I170" s="121">
        <v>0</v>
      </c>
      <c r="J170" s="121">
        <f t="shared" si="15"/>
        <v>100</v>
      </c>
    </row>
    <row r="171" spans="1:10" ht="15.75">
      <c r="A171" s="134" t="s">
        <v>1212</v>
      </c>
      <c r="B171" s="124" t="s">
        <v>1594</v>
      </c>
      <c r="C171" s="124" t="s">
        <v>1296</v>
      </c>
      <c r="D171" s="124" t="s">
        <v>1018</v>
      </c>
      <c r="E171" s="124" t="s">
        <v>1436</v>
      </c>
      <c r="F171" s="135">
        <v>0</v>
      </c>
      <c r="G171" s="135">
        <v>2000</v>
      </c>
      <c r="H171" s="135">
        <v>2000</v>
      </c>
      <c r="I171" s="121">
        <v>0</v>
      </c>
      <c r="J171" s="121">
        <f t="shared" si="15"/>
        <v>100</v>
      </c>
    </row>
    <row r="172" spans="1:10" ht="36">
      <c r="A172" s="129" t="s">
        <v>1315</v>
      </c>
      <c r="B172" s="124" t="s">
        <v>1594</v>
      </c>
      <c r="C172" s="124" t="s">
        <v>1296</v>
      </c>
      <c r="D172" s="124" t="s">
        <v>1316</v>
      </c>
      <c r="E172" s="124"/>
      <c r="F172" s="132">
        <f>F175+F177+F173</f>
        <v>0</v>
      </c>
      <c r="G172" s="132">
        <f>G175+G177+G173</f>
        <v>10000</v>
      </c>
      <c r="H172" s="132">
        <f>H175+H177+H173</f>
        <v>9981.6</v>
      </c>
      <c r="I172" s="121">
        <v>0</v>
      </c>
      <c r="J172" s="121">
        <f t="shared" si="15"/>
        <v>99.816</v>
      </c>
    </row>
    <row r="173" spans="1:10" ht="15.75">
      <c r="A173" s="130" t="s">
        <v>910</v>
      </c>
      <c r="B173" s="124" t="s">
        <v>1594</v>
      </c>
      <c r="C173" s="124" t="s">
        <v>1296</v>
      </c>
      <c r="D173" s="124" t="s">
        <v>1019</v>
      </c>
      <c r="E173" s="124" t="s">
        <v>911</v>
      </c>
      <c r="F173" s="132">
        <f>F174</f>
        <v>0</v>
      </c>
      <c r="G173" s="132">
        <f>G174</f>
        <v>20</v>
      </c>
      <c r="H173" s="132">
        <f>H174</f>
        <v>20</v>
      </c>
      <c r="I173" s="121">
        <v>0</v>
      </c>
      <c r="J173" s="121">
        <f t="shared" si="15"/>
        <v>100</v>
      </c>
    </row>
    <row r="174" spans="1:10" ht="15.75">
      <c r="A174" s="130" t="s">
        <v>589</v>
      </c>
      <c r="B174" s="124" t="s">
        <v>1594</v>
      </c>
      <c r="C174" s="124" t="s">
        <v>1296</v>
      </c>
      <c r="D174" s="124" t="s">
        <v>1019</v>
      </c>
      <c r="E174" s="124" t="s">
        <v>590</v>
      </c>
      <c r="F174" s="132">
        <v>0</v>
      </c>
      <c r="G174" s="132">
        <v>20</v>
      </c>
      <c r="H174" s="132">
        <v>20</v>
      </c>
      <c r="I174" s="121">
        <v>0</v>
      </c>
      <c r="J174" s="121">
        <f t="shared" si="15"/>
        <v>100</v>
      </c>
    </row>
    <row r="175" spans="1:10" ht="72">
      <c r="A175" s="130" t="s">
        <v>1311</v>
      </c>
      <c r="B175" s="124" t="s">
        <v>1594</v>
      </c>
      <c r="C175" s="124" t="s">
        <v>1296</v>
      </c>
      <c r="D175" s="124" t="s">
        <v>1317</v>
      </c>
      <c r="E175" s="124" t="s">
        <v>1462</v>
      </c>
      <c r="F175" s="132">
        <f>F176</f>
        <v>0</v>
      </c>
      <c r="G175" s="132">
        <f>G176</f>
        <v>7948</v>
      </c>
      <c r="H175" s="132">
        <f>H176</f>
        <v>7935.3</v>
      </c>
      <c r="I175" s="121">
        <v>0</v>
      </c>
      <c r="J175" s="121">
        <f t="shared" si="15"/>
        <v>99.84021137393056</v>
      </c>
    </row>
    <row r="176" spans="1:10" ht="24">
      <c r="A176" s="129" t="s">
        <v>105</v>
      </c>
      <c r="B176" s="124" t="s">
        <v>1594</v>
      </c>
      <c r="C176" s="124" t="s">
        <v>1296</v>
      </c>
      <c r="D176" s="124" t="s">
        <v>1317</v>
      </c>
      <c r="E176" s="124" t="s">
        <v>106</v>
      </c>
      <c r="F176" s="135">
        <v>0</v>
      </c>
      <c r="G176" s="135">
        <f>1980+3672+2296</f>
        <v>7948</v>
      </c>
      <c r="H176" s="135">
        <v>7935.3</v>
      </c>
      <c r="I176" s="121">
        <v>0</v>
      </c>
      <c r="J176" s="121">
        <f t="shared" si="15"/>
        <v>99.84021137393056</v>
      </c>
    </row>
    <row r="177" spans="1:10" ht="24">
      <c r="A177" s="130" t="s">
        <v>621</v>
      </c>
      <c r="B177" s="124" t="s">
        <v>1594</v>
      </c>
      <c r="C177" s="124" t="s">
        <v>1296</v>
      </c>
      <c r="D177" s="124" t="s">
        <v>1317</v>
      </c>
      <c r="E177" s="124" t="s">
        <v>1704</v>
      </c>
      <c r="F177" s="132">
        <f>F178</f>
        <v>0</v>
      </c>
      <c r="G177" s="132">
        <f>G178</f>
        <v>2032</v>
      </c>
      <c r="H177" s="132">
        <f>H178</f>
        <v>2026.3</v>
      </c>
      <c r="I177" s="121">
        <v>0</v>
      </c>
      <c r="J177" s="121">
        <f t="shared" si="15"/>
        <v>99.71948818897638</v>
      </c>
    </row>
    <row r="178" spans="1:10" ht="24">
      <c r="A178" s="130" t="s">
        <v>1312</v>
      </c>
      <c r="B178" s="124" t="s">
        <v>1594</v>
      </c>
      <c r="C178" s="124" t="s">
        <v>1296</v>
      </c>
      <c r="D178" s="124" t="s">
        <v>1317</v>
      </c>
      <c r="E178" s="124" t="s">
        <v>1619</v>
      </c>
      <c r="F178" s="135">
        <v>0</v>
      </c>
      <c r="G178" s="135">
        <f>20+1328+684</f>
        <v>2032</v>
      </c>
      <c r="H178" s="135">
        <v>2026.3</v>
      </c>
      <c r="I178" s="121">
        <v>0</v>
      </c>
      <c r="J178" s="121">
        <f t="shared" si="15"/>
        <v>99.71948818897638</v>
      </c>
    </row>
    <row r="179" spans="1:10" ht="36">
      <c r="A179" s="143" t="s">
        <v>688</v>
      </c>
      <c r="B179" s="124" t="s">
        <v>1594</v>
      </c>
      <c r="C179" s="124" t="s">
        <v>1296</v>
      </c>
      <c r="D179" s="124" t="s">
        <v>1265</v>
      </c>
      <c r="E179" s="124"/>
      <c r="F179" s="132">
        <f aca="true" t="shared" si="17" ref="F179:H181">F180</f>
        <v>0</v>
      </c>
      <c r="G179" s="132">
        <f t="shared" si="17"/>
        <v>100</v>
      </c>
      <c r="H179" s="132">
        <f t="shared" si="17"/>
        <v>99.2</v>
      </c>
      <c r="I179" s="121">
        <v>0</v>
      </c>
      <c r="J179" s="121">
        <f t="shared" si="15"/>
        <v>99.2</v>
      </c>
    </row>
    <row r="180" spans="1:10" ht="48">
      <c r="A180" s="141" t="s">
        <v>967</v>
      </c>
      <c r="B180" s="124" t="s">
        <v>1594</v>
      </c>
      <c r="C180" s="124" t="s">
        <v>1296</v>
      </c>
      <c r="D180" s="124" t="s">
        <v>1272</v>
      </c>
      <c r="E180" s="124"/>
      <c r="F180" s="132">
        <f t="shared" si="17"/>
        <v>0</v>
      </c>
      <c r="G180" s="132">
        <f t="shared" si="17"/>
        <v>100</v>
      </c>
      <c r="H180" s="132">
        <f t="shared" si="17"/>
        <v>99.2</v>
      </c>
      <c r="I180" s="121">
        <v>0</v>
      </c>
      <c r="J180" s="121">
        <f t="shared" si="15"/>
        <v>99.2</v>
      </c>
    </row>
    <row r="181" spans="1:10" ht="26.25" customHeight="1">
      <c r="A181" s="130" t="s">
        <v>1312</v>
      </c>
      <c r="B181" s="124" t="s">
        <v>1594</v>
      </c>
      <c r="C181" s="124" t="s">
        <v>1296</v>
      </c>
      <c r="D181" s="124" t="s">
        <v>890</v>
      </c>
      <c r="E181" s="124" t="s">
        <v>1704</v>
      </c>
      <c r="F181" s="132">
        <f t="shared" si="17"/>
        <v>0</v>
      </c>
      <c r="G181" s="132">
        <f t="shared" si="17"/>
        <v>100</v>
      </c>
      <c r="H181" s="132">
        <f t="shared" si="17"/>
        <v>99.2</v>
      </c>
      <c r="I181" s="121">
        <v>0</v>
      </c>
      <c r="J181" s="121">
        <f t="shared" si="15"/>
        <v>99.2</v>
      </c>
    </row>
    <row r="182" spans="1:10" ht="26.25" customHeight="1">
      <c r="A182" s="130" t="s">
        <v>621</v>
      </c>
      <c r="B182" s="124" t="s">
        <v>1594</v>
      </c>
      <c r="C182" s="124" t="s">
        <v>1296</v>
      </c>
      <c r="D182" s="124" t="s">
        <v>890</v>
      </c>
      <c r="E182" s="124" t="s">
        <v>1619</v>
      </c>
      <c r="F182" s="135">
        <v>0</v>
      </c>
      <c r="G182" s="135">
        <f>600-500</f>
        <v>100</v>
      </c>
      <c r="H182" s="135">
        <v>99.2</v>
      </c>
      <c r="I182" s="121">
        <v>0</v>
      </c>
      <c r="J182" s="121">
        <f t="shared" si="15"/>
        <v>99.2</v>
      </c>
    </row>
    <row r="183" spans="1:10" ht="84">
      <c r="A183" s="130" t="s">
        <v>1048</v>
      </c>
      <c r="B183" s="124" t="s">
        <v>1594</v>
      </c>
      <c r="C183" s="124" t="s">
        <v>1296</v>
      </c>
      <c r="D183" s="124" t="s">
        <v>1049</v>
      </c>
      <c r="E183" s="124"/>
      <c r="F183" s="132">
        <f>F184+F186</f>
        <v>0</v>
      </c>
      <c r="G183" s="132">
        <f>G184+G186</f>
        <v>13981</v>
      </c>
      <c r="H183" s="132">
        <f>H184+H186</f>
        <v>13195.9</v>
      </c>
      <c r="I183" s="121">
        <v>0</v>
      </c>
      <c r="J183" s="121">
        <f t="shared" si="15"/>
        <v>94.38452185108362</v>
      </c>
    </row>
    <row r="184" spans="1:10" ht="72">
      <c r="A184" s="130" t="s">
        <v>1311</v>
      </c>
      <c r="B184" s="124" t="s">
        <v>1594</v>
      </c>
      <c r="C184" s="124" t="s">
        <v>1296</v>
      </c>
      <c r="D184" s="124" t="s">
        <v>1049</v>
      </c>
      <c r="E184" s="124" t="s">
        <v>1462</v>
      </c>
      <c r="F184" s="132">
        <f>F185</f>
        <v>0</v>
      </c>
      <c r="G184" s="132">
        <f>G185</f>
        <v>13758.5</v>
      </c>
      <c r="H184" s="132">
        <f>H185</f>
        <v>13195.9</v>
      </c>
      <c r="I184" s="121">
        <v>0</v>
      </c>
      <c r="J184" s="121">
        <f t="shared" si="15"/>
        <v>95.91089144892248</v>
      </c>
    </row>
    <row r="185" spans="1:10" ht="24">
      <c r="A185" s="130" t="s">
        <v>1039</v>
      </c>
      <c r="B185" s="124" t="s">
        <v>1594</v>
      </c>
      <c r="C185" s="124" t="s">
        <v>1296</v>
      </c>
      <c r="D185" s="124" t="s">
        <v>1049</v>
      </c>
      <c r="E185" s="124" t="s">
        <v>1432</v>
      </c>
      <c r="F185" s="135">
        <v>0</v>
      </c>
      <c r="G185" s="135">
        <v>13758.5</v>
      </c>
      <c r="H185" s="135">
        <v>13195.9</v>
      </c>
      <c r="I185" s="121">
        <v>0</v>
      </c>
      <c r="J185" s="121">
        <f t="shared" si="15"/>
        <v>95.91089144892248</v>
      </c>
    </row>
    <row r="186" spans="1:10" ht="24">
      <c r="A186" s="130" t="s">
        <v>1312</v>
      </c>
      <c r="B186" s="124" t="s">
        <v>1594</v>
      </c>
      <c r="C186" s="124" t="s">
        <v>1296</v>
      </c>
      <c r="D186" s="124" t="s">
        <v>1049</v>
      </c>
      <c r="E186" s="124" t="s">
        <v>1704</v>
      </c>
      <c r="F186" s="132">
        <f>F187</f>
        <v>0</v>
      </c>
      <c r="G186" s="132">
        <f>G187</f>
        <v>222.5</v>
      </c>
      <c r="H186" s="132">
        <f>H187</f>
        <v>0</v>
      </c>
      <c r="I186" s="121">
        <v>0</v>
      </c>
      <c r="J186" s="121">
        <f t="shared" si="15"/>
        <v>0</v>
      </c>
    </row>
    <row r="187" spans="1:10" ht="24">
      <c r="A187" s="130" t="s">
        <v>1406</v>
      </c>
      <c r="B187" s="124" t="s">
        <v>1594</v>
      </c>
      <c r="C187" s="124" t="s">
        <v>1296</v>
      </c>
      <c r="D187" s="124" t="s">
        <v>1049</v>
      </c>
      <c r="E187" s="124" t="s">
        <v>1619</v>
      </c>
      <c r="F187" s="135">
        <v>0</v>
      </c>
      <c r="G187" s="135">
        <f>3439.5-3217</f>
        <v>222.5</v>
      </c>
      <c r="H187" s="135">
        <v>0</v>
      </c>
      <c r="I187" s="121">
        <v>0</v>
      </c>
      <c r="J187" s="121">
        <f t="shared" si="15"/>
        <v>0</v>
      </c>
    </row>
    <row r="188" spans="1:10" ht="38.25">
      <c r="A188" s="144" t="s">
        <v>1618</v>
      </c>
      <c r="B188" s="123" t="s">
        <v>1627</v>
      </c>
      <c r="C188" s="124"/>
      <c r="D188" s="124"/>
      <c r="E188" s="124"/>
      <c r="F188" s="125">
        <f>F189+F209</f>
        <v>14987.1</v>
      </c>
      <c r="G188" s="125">
        <f>G189+G209</f>
        <v>10700.3</v>
      </c>
      <c r="H188" s="125">
        <f>H189+H209</f>
        <v>7640.400000000001</v>
      </c>
      <c r="I188" s="121">
        <f t="shared" si="14"/>
        <v>50.97984266469163</v>
      </c>
      <c r="J188" s="121">
        <f t="shared" si="15"/>
        <v>71.40360550638768</v>
      </c>
    </row>
    <row r="189" spans="1:10" ht="48">
      <c r="A189" s="133" t="s">
        <v>690</v>
      </c>
      <c r="B189" s="124" t="s">
        <v>1627</v>
      </c>
      <c r="C189" s="124" t="s">
        <v>1626</v>
      </c>
      <c r="D189" s="124"/>
      <c r="E189" s="124"/>
      <c r="F189" s="132">
        <f>F190</f>
        <v>7972</v>
      </c>
      <c r="G189" s="132">
        <f>G190</f>
        <v>2572</v>
      </c>
      <c r="H189" s="132">
        <f>H190</f>
        <v>1864.8000000000002</v>
      </c>
      <c r="I189" s="121">
        <f t="shared" si="14"/>
        <v>23.391871550426497</v>
      </c>
      <c r="J189" s="121">
        <f t="shared" si="15"/>
        <v>72.50388802488337</v>
      </c>
    </row>
    <row r="190" spans="1:10" ht="36">
      <c r="A190" s="137" t="s">
        <v>1455</v>
      </c>
      <c r="B190" s="124" t="s">
        <v>1627</v>
      </c>
      <c r="C190" s="124" t="s">
        <v>1626</v>
      </c>
      <c r="D190" s="124" t="s">
        <v>1241</v>
      </c>
      <c r="E190" s="124"/>
      <c r="F190" s="132">
        <f>F191+F200+F204</f>
        <v>7972</v>
      </c>
      <c r="G190" s="132">
        <f>G191+G200+G204</f>
        <v>2572</v>
      </c>
      <c r="H190" s="132">
        <f>H191+H200+H204</f>
        <v>1864.8000000000002</v>
      </c>
      <c r="I190" s="121">
        <f t="shared" si="14"/>
        <v>23.391871550426497</v>
      </c>
      <c r="J190" s="121">
        <f t="shared" si="15"/>
        <v>72.50388802488337</v>
      </c>
    </row>
    <row r="191" spans="1:10" ht="60">
      <c r="A191" s="129" t="s">
        <v>1456</v>
      </c>
      <c r="B191" s="124" t="s">
        <v>1627</v>
      </c>
      <c r="C191" s="124" t="s">
        <v>1626</v>
      </c>
      <c r="D191" s="124" t="s">
        <v>1243</v>
      </c>
      <c r="E191" s="124"/>
      <c r="F191" s="132">
        <f>F192+F195</f>
        <v>812</v>
      </c>
      <c r="G191" s="132">
        <f>G192+G195</f>
        <v>812</v>
      </c>
      <c r="H191" s="132">
        <f>H192+H195</f>
        <v>707.5000000000001</v>
      </c>
      <c r="I191" s="121">
        <f t="shared" si="14"/>
        <v>87.1305418719212</v>
      </c>
      <c r="J191" s="121">
        <f t="shared" si="15"/>
        <v>87.1305418719212</v>
      </c>
    </row>
    <row r="192" spans="1:10" ht="24">
      <c r="A192" s="129" t="s">
        <v>1495</v>
      </c>
      <c r="B192" s="124" t="s">
        <v>1627</v>
      </c>
      <c r="C192" s="124" t="s">
        <v>1626</v>
      </c>
      <c r="D192" s="124" t="s">
        <v>1249</v>
      </c>
      <c r="E192" s="124"/>
      <c r="F192" s="132">
        <f aca="true" t="shared" si="18" ref="F192:H193">F193</f>
        <v>681</v>
      </c>
      <c r="G192" s="132">
        <f t="shared" si="18"/>
        <v>111</v>
      </c>
      <c r="H192" s="132">
        <f t="shared" si="18"/>
        <v>110.6</v>
      </c>
      <c r="I192" s="121">
        <f t="shared" si="14"/>
        <v>16.240822320117474</v>
      </c>
      <c r="J192" s="121">
        <f t="shared" si="15"/>
        <v>99.63963963963963</v>
      </c>
    </row>
    <row r="193" spans="1:10" ht="24">
      <c r="A193" s="130" t="s">
        <v>1312</v>
      </c>
      <c r="B193" s="124" t="s">
        <v>1627</v>
      </c>
      <c r="C193" s="124" t="s">
        <v>1626</v>
      </c>
      <c r="D193" s="124" t="s">
        <v>1249</v>
      </c>
      <c r="E193" s="124" t="s">
        <v>1704</v>
      </c>
      <c r="F193" s="132">
        <f t="shared" si="18"/>
        <v>681</v>
      </c>
      <c r="G193" s="132">
        <f t="shared" si="18"/>
        <v>111</v>
      </c>
      <c r="H193" s="132">
        <f t="shared" si="18"/>
        <v>110.6</v>
      </c>
      <c r="I193" s="121">
        <f t="shared" si="14"/>
        <v>16.240822320117474</v>
      </c>
      <c r="J193" s="121">
        <f t="shared" si="15"/>
        <v>99.63963963963963</v>
      </c>
    </row>
    <row r="194" spans="1:10" ht="24">
      <c r="A194" s="130" t="s">
        <v>621</v>
      </c>
      <c r="B194" s="124" t="s">
        <v>1627</v>
      </c>
      <c r="C194" s="124" t="s">
        <v>1626</v>
      </c>
      <c r="D194" s="124" t="s">
        <v>1249</v>
      </c>
      <c r="E194" s="124" t="s">
        <v>1619</v>
      </c>
      <c r="F194" s="135">
        <f>681</f>
        <v>681</v>
      </c>
      <c r="G194" s="135">
        <f>681-570</f>
        <v>111</v>
      </c>
      <c r="H194" s="135">
        <v>110.6</v>
      </c>
      <c r="I194" s="121">
        <f t="shared" si="14"/>
        <v>16.240822320117474</v>
      </c>
      <c r="J194" s="121">
        <f t="shared" si="15"/>
        <v>99.63963963963963</v>
      </c>
    </row>
    <row r="195" spans="1:10" ht="24">
      <c r="A195" s="129" t="s">
        <v>1496</v>
      </c>
      <c r="B195" s="124" t="s">
        <v>1627</v>
      </c>
      <c r="C195" s="124" t="s">
        <v>1626</v>
      </c>
      <c r="D195" s="124" t="s">
        <v>1250</v>
      </c>
      <c r="E195" s="124"/>
      <c r="F195" s="132">
        <f>F196+F198</f>
        <v>131</v>
      </c>
      <c r="G195" s="132">
        <f>G196+G198</f>
        <v>701</v>
      </c>
      <c r="H195" s="132">
        <f>H196+H198</f>
        <v>596.9000000000001</v>
      </c>
      <c r="I195" s="121">
        <f t="shared" si="14"/>
        <v>455.6488549618321</v>
      </c>
      <c r="J195" s="121">
        <f t="shared" si="15"/>
        <v>85.14978601997149</v>
      </c>
    </row>
    <row r="196" spans="1:10" ht="24">
      <c r="A196" s="130" t="s">
        <v>1312</v>
      </c>
      <c r="B196" s="124" t="s">
        <v>1627</v>
      </c>
      <c r="C196" s="124" t="s">
        <v>1626</v>
      </c>
      <c r="D196" s="124" t="s">
        <v>1250</v>
      </c>
      <c r="E196" s="124" t="s">
        <v>1704</v>
      </c>
      <c r="F196" s="132">
        <f>F197</f>
        <v>52.5</v>
      </c>
      <c r="G196" s="132">
        <f>G197</f>
        <v>252.5</v>
      </c>
      <c r="H196" s="132">
        <f>H197</f>
        <v>226.8</v>
      </c>
      <c r="I196" s="121">
        <f t="shared" si="14"/>
        <v>432</v>
      </c>
      <c r="J196" s="121">
        <f t="shared" si="15"/>
        <v>89.82178217821783</v>
      </c>
    </row>
    <row r="197" spans="1:10" ht="24">
      <c r="A197" s="130" t="s">
        <v>1406</v>
      </c>
      <c r="B197" s="124" t="s">
        <v>1627</v>
      </c>
      <c r="C197" s="124" t="s">
        <v>1626</v>
      </c>
      <c r="D197" s="124" t="s">
        <v>1250</v>
      </c>
      <c r="E197" s="124" t="s">
        <v>1619</v>
      </c>
      <c r="F197" s="135">
        <f>52.5</f>
        <v>52.5</v>
      </c>
      <c r="G197" s="135">
        <f>52.5+570-370</f>
        <v>252.5</v>
      </c>
      <c r="H197" s="135">
        <v>226.8</v>
      </c>
      <c r="I197" s="121">
        <f t="shared" si="14"/>
        <v>432</v>
      </c>
      <c r="J197" s="121">
        <f t="shared" si="15"/>
        <v>89.82178217821783</v>
      </c>
    </row>
    <row r="198" spans="1:10" ht="15.75">
      <c r="A198" s="130" t="s">
        <v>910</v>
      </c>
      <c r="B198" s="124" t="s">
        <v>1627</v>
      </c>
      <c r="C198" s="124" t="s">
        <v>1626</v>
      </c>
      <c r="D198" s="124" t="s">
        <v>1250</v>
      </c>
      <c r="E198" s="124" t="s">
        <v>911</v>
      </c>
      <c r="F198" s="132">
        <f>F199</f>
        <v>78.5</v>
      </c>
      <c r="G198" s="132">
        <f>G199</f>
        <v>448.5</v>
      </c>
      <c r="H198" s="132">
        <f>H199</f>
        <v>370.1</v>
      </c>
      <c r="I198" s="121">
        <f t="shared" si="14"/>
        <v>471.4649681528663</v>
      </c>
      <c r="J198" s="121">
        <f t="shared" si="15"/>
        <v>82.51950947603122</v>
      </c>
    </row>
    <row r="199" spans="1:10" ht="15.75">
      <c r="A199" s="134" t="s">
        <v>912</v>
      </c>
      <c r="B199" s="124" t="s">
        <v>1627</v>
      </c>
      <c r="C199" s="124" t="s">
        <v>1626</v>
      </c>
      <c r="D199" s="124" t="s">
        <v>1250</v>
      </c>
      <c r="E199" s="124" t="s">
        <v>913</v>
      </c>
      <c r="F199" s="135">
        <f>78.5</f>
        <v>78.5</v>
      </c>
      <c r="G199" s="135">
        <f>78.5+370</f>
        <v>448.5</v>
      </c>
      <c r="H199" s="135">
        <v>370.1</v>
      </c>
      <c r="I199" s="121">
        <f t="shared" si="14"/>
        <v>471.4649681528663</v>
      </c>
      <c r="J199" s="121">
        <f t="shared" si="15"/>
        <v>82.51950947603122</v>
      </c>
    </row>
    <row r="200" spans="1:10" ht="48">
      <c r="A200" s="129" t="s">
        <v>1457</v>
      </c>
      <c r="B200" s="124" t="s">
        <v>1627</v>
      </c>
      <c r="C200" s="124" t="s">
        <v>1626</v>
      </c>
      <c r="D200" s="124" t="s">
        <v>1240</v>
      </c>
      <c r="E200" s="124"/>
      <c r="F200" s="132">
        <f aca="true" t="shared" si="19" ref="F200:H202">F201</f>
        <v>6560</v>
      </c>
      <c r="G200" s="132">
        <f t="shared" si="19"/>
        <v>1160</v>
      </c>
      <c r="H200" s="132">
        <f t="shared" si="19"/>
        <v>626.8</v>
      </c>
      <c r="I200" s="121">
        <f t="shared" si="14"/>
        <v>9.554878048780486</v>
      </c>
      <c r="J200" s="121">
        <f t="shared" si="15"/>
        <v>54.03448275862068</v>
      </c>
    </row>
    <row r="201" spans="1:10" ht="24">
      <c r="A201" s="129" t="s">
        <v>1496</v>
      </c>
      <c r="B201" s="124" t="s">
        <v>1627</v>
      </c>
      <c r="C201" s="124" t="s">
        <v>1626</v>
      </c>
      <c r="D201" s="124" t="s">
        <v>1251</v>
      </c>
      <c r="E201" s="124"/>
      <c r="F201" s="132">
        <f t="shared" si="19"/>
        <v>6560</v>
      </c>
      <c r="G201" s="132">
        <f t="shared" si="19"/>
        <v>1160</v>
      </c>
      <c r="H201" s="132">
        <f t="shared" si="19"/>
        <v>626.8</v>
      </c>
      <c r="I201" s="121">
        <f t="shared" si="14"/>
        <v>9.554878048780486</v>
      </c>
      <c r="J201" s="121">
        <f t="shared" si="15"/>
        <v>54.03448275862068</v>
      </c>
    </row>
    <row r="202" spans="1:10" ht="24">
      <c r="A202" s="130" t="s">
        <v>1312</v>
      </c>
      <c r="B202" s="124" t="s">
        <v>1627</v>
      </c>
      <c r="C202" s="124" t="s">
        <v>1626</v>
      </c>
      <c r="D202" s="124" t="s">
        <v>1251</v>
      </c>
      <c r="E202" s="124" t="s">
        <v>1704</v>
      </c>
      <c r="F202" s="132">
        <f t="shared" si="19"/>
        <v>6560</v>
      </c>
      <c r="G202" s="132">
        <f t="shared" si="19"/>
        <v>1160</v>
      </c>
      <c r="H202" s="132">
        <f t="shared" si="19"/>
        <v>626.8</v>
      </c>
      <c r="I202" s="121">
        <f t="shared" si="14"/>
        <v>9.554878048780486</v>
      </c>
      <c r="J202" s="121">
        <f t="shared" si="15"/>
        <v>54.03448275862068</v>
      </c>
    </row>
    <row r="203" spans="1:10" ht="24">
      <c r="A203" s="130" t="s">
        <v>1406</v>
      </c>
      <c r="B203" s="124" t="s">
        <v>1627</v>
      </c>
      <c r="C203" s="124" t="s">
        <v>1626</v>
      </c>
      <c r="D203" s="124" t="s">
        <v>1251</v>
      </c>
      <c r="E203" s="124" t="s">
        <v>1619</v>
      </c>
      <c r="F203" s="135">
        <f>6560</f>
        <v>6560</v>
      </c>
      <c r="G203" s="135">
        <f>6560-2000-3400</f>
        <v>1160</v>
      </c>
      <c r="H203" s="135">
        <v>626.8</v>
      </c>
      <c r="I203" s="121">
        <f t="shared" si="14"/>
        <v>9.554878048780486</v>
      </c>
      <c r="J203" s="121">
        <f t="shared" si="15"/>
        <v>54.03448275862068</v>
      </c>
    </row>
    <row r="204" spans="1:10" ht="48">
      <c r="A204" s="130" t="s">
        <v>1413</v>
      </c>
      <c r="B204" s="124" t="s">
        <v>1627</v>
      </c>
      <c r="C204" s="124" t="s">
        <v>1626</v>
      </c>
      <c r="D204" s="124" t="s">
        <v>1414</v>
      </c>
      <c r="E204" s="124"/>
      <c r="F204" s="132">
        <f>F205+F207</f>
        <v>600</v>
      </c>
      <c r="G204" s="132">
        <f>G205+G207</f>
        <v>600</v>
      </c>
      <c r="H204" s="132">
        <f>H205+H207</f>
        <v>530.5</v>
      </c>
      <c r="I204" s="121">
        <f t="shared" si="14"/>
        <v>88.41666666666667</v>
      </c>
      <c r="J204" s="121">
        <f t="shared" si="15"/>
        <v>88.41666666666667</v>
      </c>
    </row>
    <row r="205" spans="1:10" ht="24">
      <c r="A205" s="130" t="s">
        <v>1312</v>
      </c>
      <c r="B205" s="124" t="s">
        <v>1627</v>
      </c>
      <c r="C205" s="124" t="s">
        <v>1626</v>
      </c>
      <c r="D205" s="124" t="s">
        <v>1415</v>
      </c>
      <c r="E205" s="124" t="s">
        <v>1704</v>
      </c>
      <c r="F205" s="132">
        <f>F206</f>
        <v>200</v>
      </c>
      <c r="G205" s="132">
        <f>G206</f>
        <v>600</v>
      </c>
      <c r="H205" s="132">
        <f>H206</f>
        <v>530.5</v>
      </c>
      <c r="I205" s="121">
        <f t="shared" si="14"/>
        <v>265.25</v>
      </c>
      <c r="J205" s="121">
        <f t="shared" si="15"/>
        <v>88.41666666666667</v>
      </c>
    </row>
    <row r="206" spans="1:10" ht="24">
      <c r="A206" s="130" t="s">
        <v>1406</v>
      </c>
      <c r="B206" s="124" t="s">
        <v>1627</v>
      </c>
      <c r="C206" s="124" t="s">
        <v>1626</v>
      </c>
      <c r="D206" s="124" t="s">
        <v>1415</v>
      </c>
      <c r="E206" s="124" t="s">
        <v>1619</v>
      </c>
      <c r="F206" s="135">
        <f>200</f>
        <v>200</v>
      </c>
      <c r="G206" s="135">
        <f>200+400</f>
        <v>600</v>
      </c>
      <c r="H206" s="135">
        <v>530.5</v>
      </c>
      <c r="I206" s="121">
        <f t="shared" si="14"/>
        <v>265.25</v>
      </c>
      <c r="J206" s="121">
        <f t="shared" si="15"/>
        <v>88.41666666666667</v>
      </c>
    </row>
    <row r="207" spans="1:10" ht="15.75">
      <c r="A207" s="130" t="s">
        <v>910</v>
      </c>
      <c r="B207" s="124" t="s">
        <v>1627</v>
      </c>
      <c r="C207" s="124" t="s">
        <v>1626</v>
      </c>
      <c r="D207" s="124" t="s">
        <v>1415</v>
      </c>
      <c r="E207" s="124" t="s">
        <v>911</v>
      </c>
      <c r="F207" s="132">
        <f>F208</f>
        <v>400</v>
      </c>
      <c r="G207" s="132">
        <f>G208</f>
        <v>0</v>
      </c>
      <c r="H207" s="132">
        <f>H208</f>
        <v>0</v>
      </c>
      <c r="I207" s="121">
        <f t="shared" si="14"/>
        <v>0</v>
      </c>
      <c r="J207" s="121">
        <v>0</v>
      </c>
    </row>
    <row r="208" spans="1:10" ht="15.75">
      <c r="A208" s="134" t="s">
        <v>912</v>
      </c>
      <c r="B208" s="124" t="s">
        <v>1627</v>
      </c>
      <c r="C208" s="124" t="s">
        <v>1626</v>
      </c>
      <c r="D208" s="124" t="s">
        <v>1415</v>
      </c>
      <c r="E208" s="124" t="s">
        <v>913</v>
      </c>
      <c r="F208" s="135">
        <f>400</f>
        <v>400</v>
      </c>
      <c r="G208" s="135">
        <f>400-400</f>
        <v>0</v>
      </c>
      <c r="H208" s="135">
        <f>400-400</f>
        <v>0</v>
      </c>
      <c r="I208" s="121">
        <f aca="true" t="shared" si="20" ref="I208:I267">H208/F208*100</f>
        <v>0</v>
      </c>
      <c r="J208" s="121">
        <v>0</v>
      </c>
    </row>
    <row r="209" spans="1:10" ht="36">
      <c r="A209" s="133" t="s">
        <v>678</v>
      </c>
      <c r="B209" s="124" t="s">
        <v>1627</v>
      </c>
      <c r="C209" s="124" t="s">
        <v>1422</v>
      </c>
      <c r="D209" s="124"/>
      <c r="E209" s="124"/>
      <c r="F209" s="132">
        <f>F210+F214</f>
        <v>7015.1</v>
      </c>
      <c r="G209" s="132">
        <f>G210+G214</f>
        <v>8128.299999999999</v>
      </c>
      <c r="H209" s="132">
        <f>H210+H214</f>
        <v>5775.6</v>
      </c>
      <c r="I209" s="121">
        <f t="shared" si="20"/>
        <v>82.33097176091574</v>
      </c>
      <c r="J209" s="121">
        <f aca="true" t="shared" si="21" ref="J209:J271">H209/G209*100</f>
        <v>71.0554482487113</v>
      </c>
    </row>
    <row r="210" spans="1:10" ht="36">
      <c r="A210" s="137" t="s">
        <v>1455</v>
      </c>
      <c r="B210" s="124" t="s">
        <v>1627</v>
      </c>
      <c r="C210" s="124" t="s">
        <v>1422</v>
      </c>
      <c r="D210" s="124" t="s">
        <v>1241</v>
      </c>
      <c r="E210" s="124"/>
      <c r="F210" s="132">
        <f aca="true" t="shared" si="22" ref="F210:H212">F211</f>
        <v>2084</v>
      </c>
      <c r="G210" s="132">
        <f t="shared" si="22"/>
        <v>2084</v>
      </c>
      <c r="H210" s="132">
        <f t="shared" si="22"/>
        <v>1958.2</v>
      </c>
      <c r="I210" s="121">
        <f t="shared" si="20"/>
        <v>93.96353166986565</v>
      </c>
      <c r="J210" s="121">
        <f t="shared" si="21"/>
        <v>93.96353166986565</v>
      </c>
    </row>
    <row r="211" spans="1:10" ht="36">
      <c r="A211" s="129" t="s">
        <v>733</v>
      </c>
      <c r="B211" s="124" t="s">
        <v>1627</v>
      </c>
      <c r="C211" s="124" t="s">
        <v>1422</v>
      </c>
      <c r="D211" s="124" t="s">
        <v>1416</v>
      </c>
      <c r="E211" s="124"/>
      <c r="F211" s="132">
        <f t="shared" si="22"/>
        <v>2084</v>
      </c>
      <c r="G211" s="132">
        <f t="shared" si="22"/>
        <v>2084</v>
      </c>
      <c r="H211" s="132">
        <f t="shared" si="22"/>
        <v>1958.2</v>
      </c>
      <c r="I211" s="121">
        <f t="shared" si="20"/>
        <v>93.96353166986565</v>
      </c>
      <c r="J211" s="121">
        <f t="shared" si="21"/>
        <v>93.96353166986565</v>
      </c>
    </row>
    <row r="212" spans="1:10" ht="24">
      <c r="A212" s="130" t="s">
        <v>1312</v>
      </c>
      <c r="B212" s="124" t="s">
        <v>1627</v>
      </c>
      <c r="C212" s="124" t="s">
        <v>1422</v>
      </c>
      <c r="D212" s="124" t="s">
        <v>1417</v>
      </c>
      <c r="E212" s="124" t="s">
        <v>1704</v>
      </c>
      <c r="F212" s="132">
        <f t="shared" si="22"/>
        <v>2084</v>
      </c>
      <c r="G212" s="132">
        <f t="shared" si="22"/>
        <v>2084</v>
      </c>
      <c r="H212" s="132">
        <f t="shared" si="22"/>
        <v>1958.2</v>
      </c>
      <c r="I212" s="121">
        <f t="shared" si="20"/>
        <v>93.96353166986565</v>
      </c>
      <c r="J212" s="121">
        <f t="shared" si="21"/>
        <v>93.96353166986565</v>
      </c>
    </row>
    <row r="213" spans="1:10" ht="24">
      <c r="A213" s="130" t="s">
        <v>621</v>
      </c>
      <c r="B213" s="124" t="s">
        <v>1627</v>
      </c>
      <c r="C213" s="124" t="s">
        <v>1422</v>
      </c>
      <c r="D213" s="124" t="s">
        <v>1417</v>
      </c>
      <c r="E213" s="124" t="s">
        <v>1619</v>
      </c>
      <c r="F213" s="135">
        <v>2084</v>
      </c>
      <c r="G213" s="135">
        <v>2084</v>
      </c>
      <c r="H213" s="135">
        <v>1958.2</v>
      </c>
      <c r="I213" s="121">
        <f t="shared" si="20"/>
        <v>93.96353166986565</v>
      </c>
      <c r="J213" s="121">
        <f t="shared" si="21"/>
        <v>93.96353166986565</v>
      </c>
    </row>
    <row r="214" spans="1:10" ht="48">
      <c r="A214" s="14" t="s">
        <v>734</v>
      </c>
      <c r="B214" s="124" t="s">
        <v>1627</v>
      </c>
      <c r="C214" s="124" t="s">
        <v>1422</v>
      </c>
      <c r="D214" s="124" t="s">
        <v>735</v>
      </c>
      <c r="E214" s="124"/>
      <c r="F214" s="132">
        <f>F215+F217+F219</f>
        <v>4931.1</v>
      </c>
      <c r="G214" s="132">
        <f>G215+G217+G219</f>
        <v>6044.299999999999</v>
      </c>
      <c r="H214" s="132">
        <f>H215+H217+H219</f>
        <v>3817.4</v>
      </c>
      <c r="I214" s="121">
        <f t="shared" si="20"/>
        <v>77.41477560787654</v>
      </c>
      <c r="J214" s="121">
        <f t="shared" si="21"/>
        <v>63.15702397299936</v>
      </c>
    </row>
    <row r="215" spans="1:10" ht="24">
      <c r="A215" s="130" t="s">
        <v>1312</v>
      </c>
      <c r="B215" s="124" t="s">
        <v>1627</v>
      </c>
      <c r="C215" s="124" t="s">
        <v>1422</v>
      </c>
      <c r="D215" s="124" t="s">
        <v>736</v>
      </c>
      <c r="E215" s="124" t="s">
        <v>1704</v>
      </c>
      <c r="F215" s="132">
        <f>F216</f>
        <v>3731.1</v>
      </c>
      <c r="G215" s="132">
        <f>G216</f>
        <v>1937.1</v>
      </c>
      <c r="H215" s="132">
        <f>H216</f>
        <v>1346.4</v>
      </c>
      <c r="I215" s="121">
        <f t="shared" si="20"/>
        <v>36.08587279890649</v>
      </c>
      <c r="J215" s="121">
        <f t="shared" si="21"/>
        <v>69.50596252129473</v>
      </c>
    </row>
    <row r="216" spans="1:10" ht="24">
      <c r="A216" s="130" t="s">
        <v>1406</v>
      </c>
      <c r="B216" s="124" t="s">
        <v>1627</v>
      </c>
      <c r="C216" s="124" t="s">
        <v>1422</v>
      </c>
      <c r="D216" s="124" t="s">
        <v>736</v>
      </c>
      <c r="E216" s="124" t="s">
        <v>1619</v>
      </c>
      <c r="F216" s="135">
        <f>3731.1</f>
        <v>3731.1</v>
      </c>
      <c r="G216" s="135">
        <f>3731.1+39-833-1000</f>
        <v>1937.1</v>
      </c>
      <c r="H216" s="135">
        <v>1346.4</v>
      </c>
      <c r="I216" s="121">
        <f t="shared" si="20"/>
        <v>36.08587279890649</v>
      </c>
      <c r="J216" s="121">
        <f t="shared" si="21"/>
        <v>69.50596252129473</v>
      </c>
    </row>
    <row r="217" spans="1:10" ht="15.75">
      <c r="A217" s="130" t="s">
        <v>910</v>
      </c>
      <c r="B217" s="124" t="s">
        <v>1627</v>
      </c>
      <c r="C217" s="124" t="s">
        <v>1422</v>
      </c>
      <c r="D217" s="124" t="s">
        <v>736</v>
      </c>
      <c r="E217" s="124" t="s">
        <v>911</v>
      </c>
      <c r="F217" s="132">
        <f>F218</f>
        <v>1200</v>
      </c>
      <c r="G217" s="132">
        <f>G218</f>
        <v>500</v>
      </c>
      <c r="H217" s="132">
        <f>H218</f>
        <v>485.7</v>
      </c>
      <c r="I217" s="121">
        <f t="shared" si="20"/>
        <v>40.475</v>
      </c>
      <c r="J217" s="121">
        <f t="shared" si="21"/>
        <v>97.13999999999999</v>
      </c>
    </row>
    <row r="218" spans="1:10" ht="15.75">
      <c r="A218" s="134" t="s">
        <v>912</v>
      </c>
      <c r="B218" s="124" t="s">
        <v>1627</v>
      </c>
      <c r="C218" s="124" t="s">
        <v>1422</v>
      </c>
      <c r="D218" s="124" t="s">
        <v>736</v>
      </c>
      <c r="E218" s="124" t="s">
        <v>913</v>
      </c>
      <c r="F218" s="135">
        <f>1200</f>
        <v>1200</v>
      </c>
      <c r="G218" s="135">
        <f>1200-700</f>
        <v>500</v>
      </c>
      <c r="H218" s="135">
        <v>485.7</v>
      </c>
      <c r="I218" s="121">
        <f t="shared" si="20"/>
        <v>40.475</v>
      </c>
      <c r="J218" s="121">
        <f t="shared" si="21"/>
        <v>97.13999999999999</v>
      </c>
    </row>
    <row r="219" spans="1:10" ht="108">
      <c r="A219" s="134" t="s">
        <v>1318</v>
      </c>
      <c r="B219" s="124" t="s">
        <v>1627</v>
      </c>
      <c r="C219" s="124" t="s">
        <v>1422</v>
      </c>
      <c r="D219" s="124" t="s">
        <v>1319</v>
      </c>
      <c r="E219" s="124"/>
      <c r="F219" s="132">
        <f aca="true" t="shared" si="23" ref="F219:H220">F220</f>
        <v>0</v>
      </c>
      <c r="G219" s="132">
        <f t="shared" si="23"/>
        <v>3607.2</v>
      </c>
      <c r="H219" s="132">
        <f t="shared" si="23"/>
        <v>1985.3</v>
      </c>
      <c r="I219" s="121">
        <v>0</v>
      </c>
      <c r="J219" s="121">
        <f t="shared" si="21"/>
        <v>55.03714792636949</v>
      </c>
    </row>
    <row r="220" spans="1:10" ht="24">
      <c r="A220" s="130" t="s">
        <v>1312</v>
      </c>
      <c r="B220" s="124" t="s">
        <v>1627</v>
      </c>
      <c r="C220" s="124" t="s">
        <v>1422</v>
      </c>
      <c r="D220" s="124" t="s">
        <v>1319</v>
      </c>
      <c r="E220" s="124" t="s">
        <v>1704</v>
      </c>
      <c r="F220" s="132">
        <f t="shared" si="23"/>
        <v>0</v>
      </c>
      <c r="G220" s="132">
        <f t="shared" si="23"/>
        <v>3607.2</v>
      </c>
      <c r="H220" s="132">
        <f t="shared" si="23"/>
        <v>1985.3</v>
      </c>
      <c r="I220" s="121">
        <v>0</v>
      </c>
      <c r="J220" s="121">
        <f t="shared" si="21"/>
        <v>55.03714792636949</v>
      </c>
    </row>
    <row r="221" spans="1:10" ht="24">
      <c r="A221" s="130" t="s">
        <v>1406</v>
      </c>
      <c r="B221" s="124" t="s">
        <v>1627</v>
      </c>
      <c r="C221" s="124" t="s">
        <v>1422</v>
      </c>
      <c r="D221" s="124" t="s">
        <v>1319</v>
      </c>
      <c r="E221" s="124" t="s">
        <v>1619</v>
      </c>
      <c r="F221" s="135">
        <v>0</v>
      </c>
      <c r="G221" s="135">
        <f>3607.2</f>
        <v>3607.2</v>
      </c>
      <c r="H221" s="135">
        <v>1985.3</v>
      </c>
      <c r="I221" s="121">
        <v>0</v>
      </c>
      <c r="J221" s="121">
        <f t="shared" si="21"/>
        <v>55.03714792636949</v>
      </c>
    </row>
    <row r="222" spans="1:10" ht="15.75">
      <c r="A222" s="144" t="s">
        <v>1069</v>
      </c>
      <c r="B222" s="146" t="s">
        <v>1064</v>
      </c>
      <c r="C222" s="146"/>
      <c r="D222" s="147"/>
      <c r="E222" s="147"/>
      <c r="F222" s="1">
        <f>F223+F237+F260+F280</f>
        <v>364501.57</v>
      </c>
      <c r="G222" s="1">
        <f>G223+G237+G260+G280</f>
        <v>517426.37</v>
      </c>
      <c r="H222" s="1">
        <f>H223+H237+H260+H280</f>
        <v>496886.89999999997</v>
      </c>
      <c r="I222" s="121">
        <f t="shared" si="20"/>
        <v>136.31955000907126</v>
      </c>
      <c r="J222" s="121">
        <f t="shared" si="21"/>
        <v>96.03045550229687</v>
      </c>
    </row>
    <row r="223" spans="1:10" ht="15.75">
      <c r="A223" s="133" t="s">
        <v>1703</v>
      </c>
      <c r="B223" s="124" t="s">
        <v>1064</v>
      </c>
      <c r="C223" s="124" t="s">
        <v>815</v>
      </c>
      <c r="D223" s="124"/>
      <c r="E223" s="124"/>
      <c r="F223" s="132">
        <f>F226+F229</f>
        <v>106336.2</v>
      </c>
      <c r="G223" s="132">
        <f>G226+G229</f>
        <v>99590</v>
      </c>
      <c r="H223" s="132">
        <f>H226+H229</f>
        <v>99590</v>
      </c>
      <c r="I223" s="121">
        <f t="shared" si="20"/>
        <v>93.65578232060201</v>
      </c>
      <c r="J223" s="121">
        <f t="shared" si="21"/>
        <v>100</v>
      </c>
    </row>
    <row r="224" spans="1:10" ht="48">
      <c r="A224" s="141" t="s">
        <v>914</v>
      </c>
      <c r="B224" s="124" t="s">
        <v>1064</v>
      </c>
      <c r="C224" s="124" t="s">
        <v>815</v>
      </c>
      <c r="D224" s="124" t="s">
        <v>1733</v>
      </c>
      <c r="E224" s="124"/>
      <c r="F224" s="132">
        <f aca="true" t="shared" si="24" ref="F224:H227">F225</f>
        <v>105836.2</v>
      </c>
      <c r="G224" s="132">
        <f t="shared" si="24"/>
        <v>99090</v>
      </c>
      <c r="H224" s="132">
        <f t="shared" si="24"/>
        <v>99090</v>
      </c>
      <c r="I224" s="121">
        <f t="shared" si="20"/>
        <v>93.62581045048859</v>
      </c>
      <c r="J224" s="121">
        <f t="shared" si="21"/>
        <v>100</v>
      </c>
    </row>
    <row r="225" spans="1:10" ht="48">
      <c r="A225" s="129" t="s">
        <v>83</v>
      </c>
      <c r="B225" s="124" t="s">
        <v>1064</v>
      </c>
      <c r="C225" s="124" t="s">
        <v>815</v>
      </c>
      <c r="D225" s="124" t="s">
        <v>1734</v>
      </c>
      <c r="E225" s="124"/>
      <c r="F225" s="132">
        <f t="shared" si="24"/>
        <v>105836.2</v>
      </c>
      <c r="G225" s="132">
        <f t="shared" si="24"/>
        <v>99090</v>
      </c>
      <c r="H225" s="132">
        <f t="shared" si="24"/>
        <v>99090</v>
      </c>
      <c r="I225" s="121">
        <f t="shared" si="20"/>
        <v>93.62581045048859</v>
      </c>
      <c r="J225" s="121">
        <f t="shared" si="21"/>
        <v>100</v>
      </c>
    </row>
    <row r="226" spans="1:10" ht="15.75">
      <c r="A226" s="129" t="s">
        <v>392</v>
      </c>
      <c r="B226" s="124" t="s">
        <v>1064</v>
      </c>
      <c r="C226" s="124" t="s">
        <v>815</v>
      </c>
      <c r="D226" s="124" t="s">
        <v>1735</v>
      </c>
      <c r="E226" s="124"/>
      <c r="F226" s="132">
        <f t="shared" si="24"/>
        <v>105836.2</v>
      </c>
      <c r="G226" s="132">
        <f t="shared" si="24"/>
        <v>99090</v>
      </c>
      <c r="H226" s="132">
        <f t="shared" si="24"/>
        <v>99090</v>
      </c>
      <c r="I226" s="121">
        <f t="shared" si="20"/>
        <v>93.62581045048859</v>
      </c>
      <c r="J226" s="121">
        <f t="shared" si="21"/>
        <v>100</v>
      </c>
    </row>
    <row r="227" spans="1:10" ht="24">
      <c r="A227" s="130" t="s">
        <v>1312</v>
      </c>
      <c r="B227" s="124" t="s">
        <v>1064</v>
      </c>
      <c r="C227" s="124" t="s">
        <v>815</v>
      </c>
      <c r="D227" s="124" t="s">
        <v>1735</v>
      </c>
      <c r="E227" s="124" t="s">
        <v>1704</v>
      </c>
      <c r="F227" s="132">
        <f t="shared" si="24"/>
        <v>105836.2</v>
      </c>
      <c r="G227" s="132">
        <f t="shared" si="24"/>
        <v>99090</v>
      </c>
      <c r="H227" s="132">
        <f t="shared" si="24"/>
        <v>99090</v>
      </c>
      <c r="I227" s="121">
        <f t="shared" si="20"/>
        <v>93.62581045048859</v>
      </c>
      <c r="J227" s="121">
        <f t="shared" si="21"/>
        <v>100</v>
      </c>
    </row>
    <row r="228" spans="1:10" ht="24">
      <c r="A228" s="130" t="s">
        <v>1406</v>
      </c>
      <c r="B228" s="124" t="s">
        <v>1064</v>
      </c>
      <c r="C228" s="124" t="s">
        <v>815</v>
      </c>
      <c r="D228" s="124" t="s">
        <v>1735</v>
      </c>
      <c r="E228" s="124" t="s">
        <v>1619</v>
      </c>
      <c r="F228" s="135">
        <f>105836.2</f>
        <v>105836.2</v>
      </c>
      <c r="G228" s="135">
        <f>105836.2-6746.2</f>
        <v>99090</v>
      </c>
      <c r="H228" s="135">
        <f>105836.2-6746.2</f>
        <v>99090</v>
      </c>
      <c r="I228" s="121">
        <f t="shared" si="20"/>
        <v>93.62581045048859</v>
      </c>
      <c r="J228" s="121">
        <f t="shared" si="21"/>
        <v>100</v>
      </c>
    </row>
    <row r="229" spans="1:10" ht="36">
      <c r="A229" s="141" t="s">
        <v>1044</v>
      </c>
      <c r="B229" s="124" t="s">
        <v>1064</v>
      </c>
      <c r="C229" s="124" t="s">
        <v>815</v>
      </c>
      <c r="D229" s="124" t="s">
        <v>546</v>
      </c>
      <c r="E229" s="124"/>
      <c r="F229" s="132">
        <f>F230</f>
        <v>500</v>
      </c>
      <c r="G229" s="132">
        <f>G230</f>
        <v>500</v>
      </c>
      <c r="H229" s="132">
        <f>H230</f>
        <v>500</v>
      </c>
      <c r="I229" s="121">
        <f t="shared" si="20"/>
        <v>100</v>
      </c>
      <c r="J229" s="121">
        <f t="shared" si="21"/>
        <v>100</v>
      </c>
    </row>
    <row r="230" spans="1:10" ht="36">
      <c r="A230" s="130" t="s">
        <v>84</v>
      </c>
      <c r="B230" s="124" t="s">
        <v>1064</v>
      </c>
      <c r="C230" s="124" t="s">
        <v>815</v>
      </c>
      <c r="D230" s="124" t="s">
        <v>547</v>
      </c>
      <c r="E230" s="124"/>
      <c r="F230" s="135">
        <f>F231+F234</f>
        <v>500</v>
      </c>
      <c r="G230" s="135">
        <f>G231+G234</f>
        <v>500</v>
      </c>
      <c r="H230" s="135">
        <f>H231+H234</f>
        <v>500</v>
      </c>
      <c r="I230" s="121">
        <f t="shared" si="20"/>
        <v>100</v>
      </c>
      <c r="J230" s="121">
        <f t="shared" si="21"/>
        <v>100</v>
      </c>
    </row>
    <row r="231" spans="1:10" ht="84">
      <c r="A231" s="134" t="s">
        <v>104</v>
      </c>
      <c r="B231" s="124" t="s">
        <v>1064</v>
      </c>
      <c r="C231" s="124" t="s">
        <v>815</v>
      </c>
      <c r="D231" s="124" t="s">
        <v>85</v>
      </c>
      <c r="E231" s="124"/>
      <c r="F231" s="132">
        <f aca="true" t="shared" si="25" ref="F231:H232">F232</f>
        <v>123</v>
      </c>
      <c r="G231" s="132">
        <f t="shared" si="25"/>
        <v>123</v>
      </c>
      <c r="H231" s="132">
        <f t="shared" si="25"/>
        <v>123</v>
      </c>
      <c r="I231" s="121">
        <f t="shared" si="20"/>
        <v>100</v>
      </c>
      <c r="J231" s="121">
        <f t="shared" si="21"/>
        <v>100</v>
      </c>
    </row>
    <row r="232" spans="1:10" ht="24">
      <c r="A232" s="130" t="s">
        <v>1312</v>
      </c>
      <c r="B232" s="124" t="s">
        <v>1064</v>
      </c>
      <c r="C232" s="124" t="s">
        <v>815</v>
      </c>
      <c r="D232" s="124" t="s">
        <v>85</v>
      </c>
      <c r="E232" s="124" t="s">
        <v>1704</v>
      </c>
      <c r="F232" s="132">
        <f t="shared" si="25"/>
        <v>123</v>
      </c>
      <c r="G232" s="132">
        <f t="shared" si="25"/>
        <v>123</v>
      </c>
      <c r="H232" s="132">
        <f t="shared" si="25"/>
        <v>123</v>
      </c>
      <c r="I232" s="121">
        <f t="shared" si="20"/>
        <v>100</v>
      </c>
      <c r="J232" s="121">
        <f t="shared" si="21"/>
        <v>100</v>
      </c>
    </row>
    <row r="233" spans="1:10" ht="24">
      <c r="A233" s="130" t="s">
        <v>1406</v>
      </c>
      <c r="B233" s="124" t="s">
        <v>1064</v>
      </c>
      <c r="C233" s="124" t="s">
        <v>815</v>
      </c>
      <c r="D233" s="124" t="s">
        <v>85</v>
      </c>
      <c r="E233" s="124" t="s">
        <v>1619</v>
      </c>
      <c r="F233" s="135">
        <v>123</v>
      </c>
      <c r="G233" s="135">
        <v>123</v>
      </c>
      <c r="H233" s="135">
        <v>123</v>
      </c>
      <c r="I233" s="121">
        <f t="shared" si="20"/>
        <v>100</v>
      </c>
      <c r="J233" s="121">
        <f t="shared" si="21"/>
        <v>100</v>
      </c>
    </row>
    <row r="234" spans="1:10" ht="72">
      <c r="A234" s="134" t="s">
        <v>1297</v>
      </c>
      <c r="B234" s="124" t="s">
        <v>1064</v>
      </c>
      <c r="C234" s="124" t="s">
        <v>815</v>
      </c>
      <c r="D234" s="124" t="s">
        <v>86</v>
      </c>
      <c r="E234" s="124"/>
      <c r="F234" s="132">
        <f aca="true" t="shared" si="26" ref="F234:H235">F235</f>
        <v>377</v>
      </c>
      <c r="G234" s="132">
        <f t="shared" si="26"/>
        <v>377</v>
      </c>
      <c r="H234" s="132">
        <f t="shared" si="26"/>
        <v>377</v>
      </c>
      <c r="I234" s="121">
        <f t="shared" si="20"/>
        <v>100</v>
      </c>
      <c r="J234" s="121">
        <f t="shared" si="21"/>
        <v>100</v>
      </c>
    </row>
    <row r="235" spans="1:10" ht="24">
      <c r="A235" s="130" t="s">
        <v>1312</v>
      </c>
      <c r="B235" s="124" t="s">
        <v>1064</v>
      </c>
      <c r="C235" s="124" t="s">
        <v>815</v>
      </c>
      <c r="D235" s="124" t="s">
        <v>86</v>
      </c>
      <c r="E235" s="124" t="s">
        <v>1704</v>
      </c>
      <c r="F235" s="132">
        <f t="shared" si="26"/>
        <v>377</v>
      </c>
      <c r="G235" s="132">
        <f t="shared" si="26"/>
        <v>377</v>
      </c>
      <c r="H235" s="132">
        <f t="shared" si="26"/>
        <v>377</v>
      </c>
      <c r="I235" s="121">
        <f t="shared" si="20"/>
        <v>100</v>
      </c>
      <c r="J235" s="121">
        <f t="shared" si="21"/>
        <v>100</v>
      </c>
    </row>
    <row r="236" spans="1:10" ht="24">
      <c r="A236" s="130" t="s">
        <v>621</v>
      </c>
      <c r="B236" s="124" t="s">
        <v>1064</v>
      </c>
      <c r="C236" s="124" t="s">
        <v>815</v>
      </c>
      <c r="D236" s="124" t="s">
        <v>86</v>
      </c>
      <c r="E236" s="124" t="s">
        <v>1619</v>
      </c>
      <c r="F236" s="135">
        <v>377</v>
      </c>
      <c r="G236" s="135">
        <v>377</v>
      </c>
      <c r="H236" s="135">
        <v>377</v>
      </c>
      <c r="I236" s="121">
        <f t="shared" si="20"/>
        <v>100</v>
      </c>
      <c r="J236" s="121">
        <f t="shared" si="21"/>
        <v>100</v>
      </c>
    </row>
    <row r="237" spans="1:10" ht="24">
      <c r="A237" s="139" t="s">
        <v>1604</v>
      </c>
      <c r="B237" s="124" t="s">
        <v>1064</v>
      </c>
      <c r="C237" s="124" t="s">
        <v>1626</v>
      </c>
      <c r="D237" s="124"/>
      <c r="E237" s="124"/>
      <c r="F237" s="132">
        <f>F238+F257</f>
        <v>238567</v>
      </c>
      <c r="G237" s="132">
        <f>G238+G257</f>
        <v>354995.5</v>
      </c>
      <c r="H237" s="132">
        <f>H238+H257</f>
        <v>335838.1</v>
      </c>
      <c r="I237" s="121">
        <f t="shared" si="20"/>
        <v>140.77307423071926</v>
      </c>
      <c r="J237" s="121">
        <f t="shared" si="21"/>
        <v>94.60348088919437</v>
      </c>
    </row>
    <row r="238" spans="1:10" ht="48">
      <c r="A238" s="141" t="s">
        <v>1708</v>
      </c>
      <c r="B238" s="124" t="s">
        <v>1064</v>
      </c>
      <c r="C238" s="124" t="s">
        <v>1626</v>
      </c>
      <c r="D238" s="124" t="s">
        <v>1733</v>
      </c>
      <c r="E238" s="124"/>
      <c r="F238" s="132">
        <f>F239+F242+F254</f>
        <v>238567</v>
      </c>
      <c r="G238" s="132">
        <f>G239+G242+G254</f>
        <v>349905.5</v>
      </c>
      <c r="H238" s="132">
        <f>H239+H242+H254</f>
        <v>332582</v>
      </c>
      <c r="I238" s="121">
        <f t="shared" si="20"/>
        <v>139.4082165597086</v>
      </c>
      <c r="J238" s="121">
        <f t="shared" si="21"/>
        <v>95.04909182622166</v>
      </c>
    </row>
    <row r="239" spans="1:10" ht="48">
      <c r="A239" s="14" t="s">
        <v>87</v>
      </c>
      <c r="B239" s="124" t="s">
        <v>1064</v>
      </c>
      <c r="C239" s="124" t="s">
        <v>1626</v>
      </c>
      <c r="D239" s="124" t="s">
        <v>915</v>
      </c>
      <c r="E239" s="124"/>
      <c r="F239" s="132">
        <f aca="true" t="shared" si="27" ref="F239:H240">F240</f>
        <v>20500</v>
      </c>
      <c r="G239" s="132">
        <f t="shared" si="27"/>
        <v>31699.199999999997</v>
      </c>
      <c r="H239" s="132">
        <f t="shared" si="27"/>
        <v>31622.3</v>
      </c>
      <c r="I239" s="121">
        <f t="shared" si="20"/>
        <v>154.2551219512195</v>
      </c>
      <c r="J239" s="121">
        <f t="shared" si="21"/>
        <v>99.75740712699374</v>
      </c>
    </row>
    <row r="240" spans="1:10" ht="24">
      <c r="A240" s="130" t="s">
        <v>1312</v>
      </c>
      <c r="B240" s="124" t="s">
        <v>1064</v>
      </c>
      <c r="C240" s="124" t="s">
        <v>1626</v>
      </c>
      <c r="D240" s="124" t="s">
        <v>916</v>
      </c>
      <c r="E240" s="124" t="s">
        <v>1704</v>
      </c>
      <c r="F240" s="132">
        <f t="shared" si="27"/>
        <v>20500</v>
      </c>
      <c r="G240" s="132">
        <f t="shared" si="27"/>
        <v>31699.199999999997</v>
      </c>
      <c r="H240" s="132">
        <f t="shared" si="27"/>
        <v>31622.3</v>
      </c>
      <c r="I240" s="121">
        <f t="shared" si="20"/>
        <v>154.2551219512195</v>
      </c>
      <c r="J240" s="121">
        <f t="shared" si="21"/>
        <v>99.75740712699374</v>
      </c>
    </row>
    <row r="241" spans="1:10" ht="24">
      <c r="A241" s="130" t="s">
        <v>621</v>
      </c>
      <c r="B241" s="124" t="s">
        <v>1064</v>
      </c>
      <c r="C241" s="124" t="s">
        <v>1626</v>
      </c>
      <c r="D241" s="124" t="s">
        <v>916</v>
      </c>
      <c r="E241" s="124" t="s">
        <v>1619</v>
      </c>
      <c r="F241" s="135">
        <f>20500</f>
        <v>20500</v>
      </c>
      <c r="G241" s="135">
        <f>20500+2500+1500+746.2+3385+6000+68-3000</f>
        <v>31699.199999999997</v>
      </c>
      <c r="H241" s="135">
        <v>31622.3</v>
      </c>
      <c r="I241" s="121">
        <f t="shared" si="20"/>
        <v>154.2551219512195</v>
      </c>
      <c r="J241" s="121">
        <f t="shared" si="21"/>
        <v>99.75740712699374</v>
      </c>
    </row>
    <row r="242" spans="1:10" ht="48">
      <c r="A242" s="129" t="s">
        <v>551</v>
      </c>
      <c r="B242" s="124" t="s">
        <v>1064</v>
      </c>
      <c r="C242" s="124" t="s">
        <v>1626</v>
      </c>
      <c r="D242" s="124" t="s">
        <v>917</v>
      </c>
      <c r="E242" s="124"/>
      <c r="F242" s="132">
        <f>F243+F245+F248+F251</f>
        <v>179500</v>
      </c>
      <c r="G242" s="132">
        <f>G243+G245+G248+G251</f>
        <v>250973.59999999998</v>
      </c>
      <c r="H242" s="132">
        <f>H243+H245+H248+H251</f>
        <v>237046.8</v>
      </c>
      <c r="I242" s="121">
        <f t="shared" si="20"/>
        <v>132.05949860724232</v>
      </c>
      <c r="J242" s="121">
        <f t="shared" si="21"/>
        <v>94.45089045222286</v>
      </c>
    </row>
    <row r="243" spans="1:10" ht="24">
      <c r="A243" s="130" t="s">
        <v>1312</v>
      </c>
      <c r="B243" s="124" t="s">
        <v>1064</v>
      </c>
      <c r="C243" s="124" t="s">
        <v>1626</v>
      </c>
      <c r="D243" s="124" t="s">
        <v>918</v>
      </c>
      <c r="E243" s="124" t="s">
        <v>1704</v>
      </c>
      <c r="F243" s="132">
        <f>F244</f>
        <v>69500</v>
      </c>
      <c r="G243" s="132">
        <f>G244</f>
        <v>114628.4</v>
      </c>
      <c r="H243" s="132">
        <f>H244</f>
        <v>101822.4</v>
      </c>
      <c r="I243" s="121">
        <f t="shared" si="20"/>
        <v>146.50705035971222</v>
      </c>
      <c r="J243" s="121">
        <f t="shared" si="21"/>
        <v>88.8282484968821</v>
      </c>
    </row>
    <row r="244" spans="1:10" ht="24">
      <c r="A244" s="130" t="s">
        <v>1406</v>
      </c>
      <c r="B244" s="124" t="s">
        <v>1064</v>
      </c>
      <c r="C244" s="124" t="s">
        <v>1626</v>
      </c>
      <c r="D244" s="124" t="s">
        <v>918</v>
      </c>
      <c r="E244" s="124" t="s">
        <v>1619</v>
      </c>
      <c r="F244" s="135">
        <f>69500</f>
        <v>69500</v>
      </c>
      <c r="G244" s="135">
        <f>69500+6000+3500+14591.4+3000+23613.5+3466.7+800+2150-800-29277+7000+8200+200+1135.7+424.8+1123.3</f>
        <v>114628.4</v>
      </c>
      <c r="H244" s="135">
        <v>101822.4</v>
      </c>
      <c r="I244" s="121">
        <f t="shared" si="20"/>
        <v>146.50705035971222</v>
      </c>
      <c r="J244" s="121">
        <f t="shared" si="21"/>
        <v>88.8282484968821</v>
      </c>
    </row>
    <row r="245" spans="1:10" ht="36">
      <c r="A245" s="129" t="s">
        <v>752</v>
      </c>
      <c r="B245" s="124" t="s">
        <v>1064</v>
      </c>
      <c r="C245" s="124" t="s">
        <v>1626</v>
      </c>
      <c r="D245" s="124" t="s">
        <v>918</v>
      </c>
      <c r="E245" s="124" t="s">
        <v>751</v>
      </c>
      <c r="F245" s="132">
        <f>F246</f>
        <v>110000</v>
      </c>
      <c r="G245" s="132">
        <f>G246</f>
        <v>117134.7</v>
      </c>
      <c r="H245" s="132">
        <f>H246</f>
        <v>116602.1</v>
      </c>
      <c r="I245" s="121">
        <f t="shared" si="20"/>
        <v>106.0019090909091</v>
      </c>
      <c r="J245" s="121">
        <f t="shared" si="21"/>
        <v>99.54530980145083</v>
      </c>
    </row>
    <row r="246" spans="1:10" ht="24">
      <c r="A246" s="134" t="s">
        <v>753</v>
      </c>
      <c r="B246" s="124" t="s">
        <v>1064</v>
      </c>
      <c r="C246" s="124" t="s">
        <v>1626</v>
      </c>
      <c r="D246" s="124" t="s">
        <v>918</v>
      </c>
      <c r="E246" s="124" t="s">
        <v>1436</v>
      </c>
      <c r="F246" s="135">
        <f>110000+F247</f>
        <v>110000</v>
      </c>
      <c r="G246" s="135">
        <f>110000+G247+5704.7+800</f>
        <v>117134.7</v>
      </c>
      <c r="H246" s="135">
        <v>116602.1</v>
      </c>
      <c r="I246" s="121">
        <f t="shared" si="20"/>
        <v>106.0019090909091</v>
      </c>
      <c r="J246" s="121">
        <f t="shared" si="21"/>
        <v>99.54530980145083</v>
      </c>
    </row>
    <row r="247" spans="1:10" ht="24">
      <c r="A247" s="134" t="s">
        <v>1050</v>
      </c>
      <c r="B247" s="124" t="s">
        <v>1064</v>
      </c>
      <c r="C247" s="124" t="s">
        <v>1626</v>
      </c>
      <c r="D247" s="124" t="s">
        <v>918</v>
      </c>
      <c r="E247" s="124" t="s">
        <v>1436</v>
      </c>
      <c r="F247" s="135">
        <v>0</v>
      </c>
      <c r="G247" s="135">
        <v>630</v>
      </c>
      <c r="H247" s="135">
        <v>630</v>
      </c>
      <c r="I247" s="121">
        <v>0</v>
      </c>
      <c r="J247" s="121">
        <f t="shared" si="21"/>
        <v>100</v>
      </c>
    </row>
    <row r="248" spans="1:10" ht="72">
      <c r="A248" s="134" t="s">
        <v>1320</v>
      </c>
      <c r="B248" s="124" t="s">
        <v>1064</v>
      </c>
      <c r="C248" s="124" t="s">
        <v>1626</v>
      </c>
      <c r="D248" s="124" t="s">
        <v>1321</v>
      </c>
      <c r="E248" s="124"/>
      <c r="F248" s="132">
        <f aca="true" t="shared" si="28" ref="F248:H249">F249</f>
        <v>0</v>
      </c>
      <c r="G248" s="132">
        <f t="shared" si="28"/>
        <v>11761.5</v>
      </c>
      <c r="H248" s="132">
        <f t="shared" si="28"/>
        <v>11173.4</v>
      </c>
      <c r="I248" s="121">
        <v>0</v>
      </c>
      <c r="J248" s="121">
        <f t="shared" si="21"/>
        <v>94.99978744207796</v>
      </c>
    </row>
    <row r="249" spans="1:10" ht="24">
      <c r="A249" s="130" t="s">
        <v>1312</v>
      </c>
      <c r="B249" s="124" t="s">
        <v>1064</v>
      </c>
      <c r="C249" s="124" t="s">
        <v>1626</v>
      </c>
      <c r="D249" s="124" t="s">
        <v>1321</v>
      </c>
      <c r="E249" s="124" t="s">
        <v>1704</v>
      </c>
      <c r="F249" s="132">
        <f t="shared" si="28"/>
        <v>0</v>
      </c>
      <c r="G249" s="132">
        <f t="shared" si="28"/>
        <v>11761.5</v>
      </c>
      <c r="H249" s="132">
        <f t="shared" si="28"/>
        <v>11173.4</v>
      </c>
      <c r="I249" s="121">
        <v>0</v>
      </c>
      <c r="J249" s="121">
        <f t="shared" si="21"/>
        <v>94.99978744207796</v>
      </c>
    </row>
    <row r="250" spans="1:10" ht="24">
      <c r="A250" s="130" t="s">
        <v>1406</v>
      </c>
      <c r="B250" s="124" t="s">
        <v>1064</v>
      </c>
      <c r="C250" s="124" t="s">
        <v>1626</v>
      </c>
      <c r="D250" s="124" t="s">
        <v>1321</v>
      </c>
      <c r="E250" s="124" t="s">
        <v>1619</v>
      </c>
      <c r="F250" s="135">
        <v>0</v>
      </c>
      <c r="G250" s="135">
        <v>11761.5</v>
      </c>
      <c r="H250" s="135">
        <v>11173.4</v>
      </c>
      <c r="I250" s="121">
        <v>0</v>
      </c>
      <c r="J250" s="121">
        <f t="shared" si="21"/>
        <v>94.99978744207796</v>
      </c>
    </row>
    <row r="251" spans="1:10" ht="72">
      <c r="A251" s="204" t="s">
        <v>660</v>
      </c>
      <c r="B251" s="124" t="s">
        <v>1064</v>
      </c>
      <c r="C251" s="124" t="s">
        <v>1626</v>
      </c>
      <c r="D251" s="124" t="s">
        <v>661</v>
      </c>
      <c r="E251" s="124"/>
      <c r="F251" s="132">
        <f aca="true" t="shared" si="29" ref="F251:H252">F252</f>
        <v>0</v>
      </c>
      <c r="G251" s="132">
        <f t="shared" si="29"/>
        <v>7449</v>
      </c>
      <c r="H251" s="132">
        <f t="shared" si="29"/>
        <v>7448.9</v>
      </c>
      <c r="I251" s="121">
        <v>0</v>
      </c>
      <c r="J251" s="121">
        <f t="shared" si="21"/>
        <v>99.99865753792456</v>
      </c>
    </row>
    <row r="252" spans="1:10" ht="24">
      <c r="A252" s="130" t="s">
        <v>1312</v>
      </c>
      <c r="B252" s="124" t="s">
        <v>1064</v>
      </c>
      <c r="C252" s="124" t="s">
        <v>1626</v>
      </c>
      <c r="D252" s="124" t="s">
        <v>661</v>
      </c>
      <c r="E252" s="124" t="s">
        <v>1704</v>
      </c>
      <c r="F252" s="132">
        <f t="shared" si="29"/>
        <v>0</v>
      </c>
      <c r="G252" s="132">
        <f t="shared" si="29"/>
        <v>7449</v>
      </c>
      <c r="H252" s="132">
        <f t="shared" si="29"/>
        <v>7448.9</v>
      </c>
      <c r="I252" s="121">
        <v>0</v>
      </c>
      <c r="J252" s="121">
        <f t="shared" si="21"/>
        <v>99.99865753792456</v>
      </c>
    </row>
    <row r="253" spans="1:10" ht="24">
      <c r="A253" s="130" t="s">
        <v>1406</v>
      </c>
      <c r="B253" s="124" t="s">
        <v>1064</v>
      </c>
      <c r="C253" s="124" t="s">
        <v>1626</v>
      </c>
      <c r="D253" s="124" t="s">
        <v>661</v>
      </c>
      <c r="E253" s="124" t="s">
        <v>1619</v>
      </c>
      <c r="F253" s="135">
        <v>0</v>
      </c>
      <c r="G253" s="135">
        <v>7449</v>
      </c>
      <c r="H253" s="135">
        <v>7448.9</v>
      </c>
      <c r="I253" s="121">
        <v>0</v>
      </c>
      <c r="J253" s="121">
        <f t="shared" si="21"/>
        <v>99.99865753792456</v>
      </c>
    </row>
    <row r="254" spans="1:10" ht="60">
      <c r="A254" s="134" t="s">
        <v>1051</v>
      </c>
      <c r="B254" s="124" t="s">
        <v>1064</v>
      </c>
      <c r="C254" s="124" t="s">
        <v>1626</v>
      </c>
      <c r="D254" s="124" t="s">
        <v>81</v>
      </c>
      <c r="E254" s="124"/>
      <c r="F254" s="132">
        <f aca="true" t="shared" si="30" ref="F254:H255">F255</f>
        <v>38567</v>
      </c>
      <c r="G254" s="132">
        <f t="shared" si="30"/>
        <v>67232.7</v>
      </c>
      <c r="H254" s="132">
        <f t="shared" si="30"/>
        <v>63912.9</v>
      </c>
      <c r="I254" s="121">
        <f t="shared" si="20"/>
        <v>165.71913812326602</v>
      </c>
      <c r="J254" s="121">
        <f t="shared" si="21"/>
        <v>95.06222418555257</v>
      </c>
    </row>
    <row r="255" spans="1:10" ht="24">
      <c r="A255" s="130" t="s">
        <v>1312</v>
      </c>
      <c r="B255" s="124" t="s">
        <v>1064</v>
      </c>
      <c r="C255" s="124" t="s">
        <v>1626</v>
      </c>
      <c r="D255" s="124" t="s">
        <v>82</v>
      </c>
      <c r="E255" s="124" t="s">
        <v>1704</v>
      </c>
      <c r="F255" s="132">
        <f t="shared" si="30"/>
        <v>38567</v>
      </c>
      <c r="G255" s="132">
        <f t="shared" si="30"/>
        <v>67232.7</v>
      </c>
      <c r="H255" s="132">
        <f t="shared" si="30"/>
        <v>63912.9</v>
      </c>
      <c r="I255" s="121">
        <f t="shared" si="20"/>
        <v>165.71913812326602</v>
      </c>
      <c r="J255" s="121">
        <f t="shared" si="21"/>
        <v>95.06222418555257</v>
      </c>
    </row>
    <row r="256" spans="1:10" ht="24">
      <c r="A256" s="130" t="s">
        <v>1406</v>
      </c>
      <c r="B256" s="124" t="s">
        <v>1064</v>
      </c>
      <c r="C256" s="124" t="s">
        <v>1626</v>
      </c>
      <c r="D256" s="124" t="s">
        <v>82</v>
      </c>
      <c r="E256" s="124" t="s">
        <v>1619</v>
      </c>
      <c r="F256" s="135">
        <v>38567</v>
      </c>
      <c r="G256" s="135">
        <f>56567-18000+8443+6000+9070.8+6500-424.8-923.3</f>
        <v>67232.7</v>
      </c>
      <c r="H256" s="135">
        <v>63912.9</v>
      </c>
      <c r="I256" s="121">
        <f t="shared" si="20"/>
        <v>165.71913812326602</v>
      </c>
      <c r="J256" s="121">
        <f t="shared" si="21"/>
        <v>95.06222418555257</v>
      </c>
    </row>
    <row r="257" spans="1:10" ht="36">
      <c r="A257" s="130" t="s">
        <v>1052</v>
      </c>
      <c r="B257" s="124" t="s">
        <v>1064</v>
      </c>
      <c r="C257" s="124" t="s">
        <v>1626</v>
      </c>
      <c r="D257" s="124" t="s">
        <v>1053</v>
      </c>
      <c r="E257" s="124"/>
      <c r="F257" s="132">
        <f aca="true" t="shared" si="31" ref="F257:H258">F258</f>
        <v>0</v>
      </c>
      <c r="G257" s="132">
        <f t="shared" si="31"/>
        <v>5090</v>
      </c>
      <c r="H257" s="132">
        <f t="shared" si="31"/>
        <v>3256.1</v>
      </c>
      <c r="I257" s="121">
        <v>0</v>
      </c>
      <c r="J257" s="121">
        <f t="shared" si="21"/>
        <v>63.9705304518664</v>
      </c>
    </row>
    <row r="258" spans="1:10" ht="24">
      <c r="A258" s="130" t="s">
        <v>1312</v>
      </c>
      <c r="B258" s="124" t="s">
        <v>1064</v>
      </c>
      <c r="C258" s="124" t="s">
        <v>1626</v>
      </c>
      <c r="D258" s="124" t="s">
        <v>1053</v>
      </c>
      <c r="E258" s="124" t="s">
        <v>1704</v>
      </c>
      <c r="F258" s="132">
        <f t="shared" si="31"/>
        <v>0</v>
      </c>
      <c r="G258" s="132">
        <f t="shared" si="31"/>
        <v>5090</v>
      </c>
      <c r="H258" s="132">
        <f t="shared" si="31"/>
        <v>3256.1</v>
      </c>
      <c r="I258" s="121">
        <v>0</v>
      </c>
      <c r="J258" s="121">
        <f t="shared" si="21"/>
        <v>63.9705304518664</v>
      </c>
    </row>
    <row r="259" spans="1:10" ht="24">
      <c r="A259" s="130" t="s">
        <v>1406</v>
      </c>
      <c r="B259" s="124" t="s">
        <v>1064</v>
      </c>
      <c r="C259" s="124" t="s">
        <v>1626</v>
      </c>
      <c r="D259" s="124" t="s">
        <v>1053</v>
      </c>
      <c r="E259" s="124" t="s">
        <v>1619</v>
      </c>
      <c r="F259" s="135">
        <v>0</v>
      </c>
      <c r="G259" s="135">
        <f>2306+1300+1484</f>
        <v>5090</v>
      </c>
      <c r="H259" s="135">
        <v>3256.1</v>
      </c>
      <c r="I259" s="121">
        <v>0</v>
      </c>
      <c r="J259" s="121">
        <f t="shared" si="21"/>
        <v>63.9705304518664</v>
      </c>
    </row>
    <row r="260" spans="1:10" ht="15.75">
      <c r="A260" s="133" t="s">
        <v>1070</v>
      </c>
      <c r="B260" s="124" t="s">
        <v>1064</v>
      </c>
      <c r="C260" s="124" t="s">
        <v>1624</v>
      </c>
      <c r="D260" s="124"/>
      <c r="E260" s="124"/>
      <c r="F260" s="132">
        <f>F261+F272</f>
        <v>15427.77</v>
      </c>
      <c r="G260" s="132">
        <f>G261+G272</f>
        <v>16142.77</v>
      </c>
      <c r="H260" s="132">
        <f>H261+H272</f>
        <v>15209</v>
      </c>
      <c r="I260" s="121">
        <f t="shared" si="20"/>
        <v>98.58197263765275</v>
      </c>
      <c r="J260" s="121">
        <f t="shared" si="21"/>
        <v>94.21555284501977</v>
      </c>
    </row>
    <row r="261" spans="1:10" ht="24">
      <c r="A261" s="137" t="s">
        <v>1454</v>
      </c>
      <c r="B261" s="124" t="s">
        <v>1064</v>
      </c>
      <c r="C261" s="124" t="s">
        <v>1624</v>
      </c>
      <c r="D261" s="124" t="s">
        <v>123</v>
      </c>
      <c r="E261" s="124"/>
      <c r="F261" s="132">
        <f>F262</f>
        <v>3285.77</v>
      </c>
      <c r="G261" s="132">
        <f>G262</f>
        <v>6827.77</v>
      </c>
      <c r="H261" s="132">
        <f>H262</f>
        <v>5919.400000000001</v>
      </c>
      <c r="I261" s="121">
        <f t="shared" si="20"/>
        <v>180.15259741247866</v>
      </c>
      <c r="J261" s="121">
        <f t="shared" si="21"/>
        <v>86.69594904339192</v>
      </c>
    </row>
    <row r="262" spans="1:10" ht="36">
      <c r="A262" s="129" t="s">
        <v>1355</v>
      </c>
      <c r="B262" s="124" t="s">
        <v>1064</v>
      </c>
      <c r="C262" s="124" t="s">
        <v>1624</v>
      </c>
      <c r="D262" s="124" t="s">
        <v>457</v>
      </c>
      <c r="E262" s="124"/>
      <c r="F262" s="132">
        <f>F263+F266+F268+F270</f>
        <v>3285.77</v>
      </c>
      <c r="G262" s="132">
        <f>G263+G266+G268+G270</f>
        <v>6827.77</v>
      </c>
      <c r="H262" s="132">
        <f>H263+H266+H268+H270</f>
        <v>5919.400000000001</v>
      </c>
      <c r="I262" s="121">
        <f t="shared" si="20"/>
        <v>180.15259741247866</v>
      </c>
      <c r="J262" s="121">
        <f t="shared" si="21"/>
        <v>86.69594904339192</v>
      </c>
    </row>
    <row r="263" spans="1:10" ht="132">
      <c r="A263" s="129" t="s">
        <v>427</v>
      </c>
      <c r="B263" s="124" t="s">
        <v>1064</v>
      </c>
      <c r="C263" s="124" t="s">
        <v>1624</v>
      </c>
      <c r="D263" s="124" t="s">
        <v>522</v>
      </c>
      <c r="E263" s="124"/>
      <c r="F263" s="132">
        <f aca="true" t="shared" si="32" ref="F263:H264">F264</f>
        <v>1077.77</v>
      </c>
      <c r="G263" s="132">
        <f t="shared" si="32"/>
        <v>1077.77</v>
      </c>
      <c r="H263" s="132">
        <f t="shared" si="32"/>
        <v>177.3</v>
      </c>
      <c r="I263" s="121">
        <f t="shared" si="20"/>
        <v>16.45063417983429</v>
      </c>
      <c r="J263" s="121">
        <f t="shared" si="21"/>
        <v>16.45063417983429</v>
      </c>
    </row>
    <row r="264" spans="1:10" ht="24">
      <c r="A264" s="130" t="s">
        <v>1312</v>
      </c>
      <c r="B264" s="124" t="s">
        <v>1064</v>
      </c>
      <c r="C264" s="124" t="s">
        <v>1624</v>
      </c>
      <c r="D264" s="124" t="s">
        <v>522</v>
      </c>
      <c r="E264" s="124" t="s">
        <v>1704</v>
      </c>
      <c r="F264" s="132">
        <f t="shared" si="32"/>
        <v>1077.77</v>
      </c>
      <c r="G264" s="132">
        <f t="shared" si="32"/>
        <v>1077.77</v>
      </c>
      <c r="H264" s="132">
        <f t="shared" si="32"/>
        <v>177.3</v>
      </c>
      <c r="I264" s="121">
        <f t="shared" si="20"/>
        <v>16.45063417983429</v>
      </c>
      <c r="J264" s="121">
        <f t="shared" si="21"/>
        <v>16.45063417983429</v>
      </c>
    </row>
    <row r="265" spans="1:10" ht="24">
      <c r="A265" s="130" t="s">
        <v>621</v>
      </c>
      <c r="B265" s="124" t="s">
        <v>1064</v>
      </c>
      <c r="C265" s="124" t="s">
        <v>1624</v>
      </c>
      <c r="D265" s="124" t="s">
        <v>522</v>
      </c>
      <c r="E265" s="124" t="s">
        <v>1619</v>
      </c>
      <c r="F265" s="135">
        <v>1077.77</v>
      </c>
      <c r="G265" s="135">
        <v>1077.77</v>
      </c>
      <c r="H265" s="135">
        <v>177.3</v>
      </c>
      <c r="I265" s="121">
        <f t="shared" si="20"/>
        <v>16.45063417983429</v>
      </c>
      <c r="J265" s="121">
        <f t="shared" si="21"/>
        <v>16.45063417983429</v>
      </c>
    </row>
    <row r="266" spans="1:10" ht="36">
      <c r="A266" s="129" t="s">
        <v>752</v>
      </c>
      <c r="B266" s="124" t="s">
        <v>1064</v>
      </c>
      <c r="C266" s="124" t="s">
        <v>1624</v>
      </c>
      <c r="D266" s="124" t="s">
        <v>1424</v>
      </c>
      <c r="E266" s="124" t="s">
        <v>751</v>
      </c>
      <c r="F266" s="132">
        <f>F267</f>
        <v>2208</v>
      </c>
      <c r="G266" s="132">
        <f>G267</f>
        <v>0</v>
      </c>
      <c r="H266" s="132">
        <f>H267</f>
        <v>0</v>
      </c>
      <c r="I266" s="121">
        <f t="shared" si="20"/>
        <v>0</v>
      </c>
      <c r="J266" s="121">
        <v>0</v>
      </c>
    </row>
    <row r="267" spans="1:10" ht="15.75">
      <c r="A267" s="134" t="s">
        <v>1435</v>
      </c>
      <c r="B267" s="124" t="s">
        <v>1064</v>
      </c>
      <c r="C267" s="124" t="s">
        <v>1624</v>
      </c>
      <c r="D267" s="124" t="s">
        <v>1424</v>
      </c>
      <c r="E267" s="124" t="s">
        <v>1436</v>
      </c>
      <c r="F267" s="135">
        <f>2208</f>
        <v>2208</v>
      </c>
      <c r="G267" s="135">
        <f>2208-2208</f>
        <v>0</v>
      </c>
      <c r="H267" s="135">
        <f>2208-2208</f>
        <v>0</v>
      </c>
      <c r="I267" s="121">
        <f t="shared" si="20"/>
        <v>0</v>
      </c>
      <c r="J267" s="121">
        <v>0</v>
      </c>
    </row>
    <row r="268" spans="1:10" ht="72">
      <c r="A268" s="130" t="s">
        <v>1311</v>
      </c>
      <c r="B268" s="124" t="s">
        <v>1064</v>
      </c>
      <c r="C268" s="124" t="s">
        <v>1624</v>
      </c>
      <c r="D268" s="124" t="s">
        <v>1424</v>
      </c>
      <c r="E268" s="124" t="s">
        <v>1462</v>
      </c>
      <c r="F268" s="132">
        <f>F269</f>
        <v>0</v>
      </c>
      <c r="G268" s="132">
        <f>G269</f>
        <v>5580</v>
      </c>
      <c r="H268" s="132">
        <f>H269</f>
        <v>5580</v>
      </c>
      <c r="I268" s="121">
        <v>0</v>
      </c>
      <c r="J268" s="121">
        <f t="shared" si="21"/>
        <v>100</v>
      </c>
    </row>
    <row r="269" spans="1:10" ht="24">
      <c r="A269" s="129" t="s">
        <v>105</v>
      </c>
      <c r="B269" s="124" t="s">
        <v>1064</v>
      </c>
      <c r="C269" s="124" t="s">
        <v>1624</v>
      </c>
      <c r="D269" s="124" t="s">
        <v>1424</v>
      </c>
      <c r="E269" s="124" t="s">
        <v>106</v>
      </c>
      <c r="F269" s="135">
        <v>0</v>
      </c>
      <c r="G269" s="135">
        <f>5442+98+40</f>
        <v>5580</v>
      </c>
      <c r="H269" s="135">
        <f>5442+98+40</f>
        <v>5580</v>
      </c>
      <c r="I269" s="121">
        <v>0</v>
      </c>
      <c r="J269" s="121">
        <f t="shared" si="21"/>
        <v>100</v>
      </c>
    </row>
    <row r="270" spans="1:10" ht="24">
      <c r="A270" s="130" t="s">
        <v>1312</v>
      </c>
      <c r="B270" s="124" t="s">
        <v>1064</v>
      </c>
      <c r="C270" s="124" t="s">
        <v>1624</v>
      </c>
      <c r="D270" s="124" t="s">
        <v>1424</v>
      </c>
      <c r="E270" s="124" t="s">
        <v>1704</v>
      </c>
      <c r="F270" s="132">
        <f>F271</f>
        <v>0</v>
      </c>
      <c r="G270" s="132">
        <f>G271</f>
        <v>170</v>
      </c>
      <c r="H270" s="132">
        <f>H271</f>
        <v>162.1</v>
      </c>
      <c r="I270" s="121">
        <v>0</v>
      </c>
      <c r="J270" s="121">
        <f t="shared" si="21"/>
        <v>95.35294117647058</v>
      </c>
    </row>
    <row r="271" spans="1:10" ht="24">
      <c r="A271" s="130" t="s">
        <v>621</v>
      </c>
      <c r="B271" s="124" t="s">
        <v>1064</v>
      </c>
      <c r="C271" s="124" t="s">
        <v>1624</v>
      </c>
      <c r="D271" s="124" t="s">
        <v>1424</v>
      </c>
      <c r="E271" s="124" t="s">
        <v>1619</v>
      </c>
      <c r="F271" s="135">
        <v>0</v>
      </c>
      <c r="G271" s="135">
        <f>142-7.4+35.4</f>
        <v>170</v>
      </c>
      <c r="H271" s="135">
        <v>162.1</v>
      </c>
      <c r="I271" s="121">
        <v>0</v>
      </c>
      <c r="J271" s="121">
        <f t="shared" si="21"/>
        <v>95.35294117647058</v>
      </c>
    </row>
    <row r="272" spans="1:10" ht="36">
      <c r="A272" s="141" t="s">
        <v>1351</v>
      </c>
      <c r="B272" s="124" t="s">
        <v>1064</v>
      </c>
      <c r="C272" s="124" t="s">
        <v>1624</v>
      </c>
      <c r="D272" s="124" t="s">
        <v>548</v>
      </c>
      <c r="E272" s="124"/>
      <c r="F272" s="132">
        <f>F273</f>
        <v>12142</v>
      </c>
      <c r="G272" s="132">
        <f>G273</f>
        <v>9315</v>
      </c>
      <c r="H272" s="132">
        <f>H273</f>
        <v>9289.6</v>
      </c>
      <c r="I272" s="121">
        <f aca="true" t="shared" si="33" ref="I272:I335">H272/F272*100</f>
        <v>76.50798879920936</v>
      </c>
      <c r="J272" s="121">
        <f aca="true" t="shared" si="34" ref="J272:J335">H272/G272*100</f>
        <v>99.72732152442298</v>
      </c>
    </row>
    <row r="273" spans="1:10" ht="48">
      <c r="A273" s="134" t="s">
        <v>1352</v>
      </c>
      <c r="B273" s="124" t="s">
        <v>1064</v>
      </c>
      <c r="C273" s="124" t="s">
        <v>1624</v>
      </c>
      <c r="D273" s="124" t="s">
        <v>1372</v>
      </c>
      <c r="E273" s="124"/>
      <c r="F273" s="132">
        <f>F274</f>
        <v>12142</v>
      </c>
      <c r="G273" s="132">
        <f>G276+G278</f>
        <v>9315</v>
      </c>
      <c r="H273" s="132">
        <f>H276+H278</f>
        <v>9289.6</v>
      </c>
      <c r="I273" s="121">
        <f t="shared" si="33"/>
        <v>76.50798879920936</v>
      </c>
      <c r="J273" s="121">
        <f t="shared" si="34"/>
        <v>99.72732152442298</v>
      </c>
    </row>
    <row r="274" spans="1:10" ht="36">
      <c r="A274" s="129" t="s">
        <v>752</v>
      </c>
      <c r="B274" s="124" t="s">
        <v>1064</v>
      </c>
      <c r="C274" s="124" t="s">
        <v>1624</v>
      </c>
      <c r="D274" s="124" t="s">
        <v>1353</v>
      </c>
      <c r="E274" s="124" t="s">
        <v>751</v>
      </c>
      <c r="F274" s="132">
        <f>F275</f>
        <v>12142</v>
      </c>
      <c r="G274" s="132">
        <f>G275</f>
        <v>0</v>
      </c>
      <c r="H274" s="132">
        <f>H275</f>
        <v>0</v>
      </c>
      <c r="I274" s="121">
        <f t="shared" si="33"/>
        <v>0</v>
      </c>
      <c r="J274" s="121">
        <v>0</v>
      </c>
    </row>
    <row r="275" spans="1:10" ht="15.75">
      <c r="A275" s="134" t="s">
        <v>1435</v>
      </c>
      <c r="B275" s="124" t="s">
        <v>1064</v>
      </c>
      <c r="C275" s="124" t="s">
        <v>1624</v>
      </c>
      <c r="D275" s="124" t="s">
        <v>1353</v>
      </c>
      <c r="E275" s="124" t="s">
        <v>1436</v>
      </c>
      <c r="F275" s="132">
        <v>12142</v>
      </c>
      <c r="G275" s="132"/>
      <c r="H275" s="132"/>
      <c r="I275" s="121">
        <f t="shared" si="33"/>
        <v>0</v>
      </c>
      <c r="J275" s="121">
        <v>0</v>
      </c>
    </row>
    <row r="276" spans="1:10" ht="72">
      <c r="A276" s="130" t="s">
        <v>1311</v>
      </c>
      <c r="B276" s="124" t="s">
        <v>1064</v>
      </c>
      <c r="C276" s="124" t="s">
        <v>1624</v>
      </c>
      <c r="D276" s="124" t="s">
        <v>1353</v>
      </c>
      <c r="E276" s="124" t="s">
        <v>1462</v>
      </c>
      <c r="F276" s="132">
        <f>F277</f>
        <v>0</v>
      </c>
      <c r="G276" s="132">
        <f>G277</f>
        <v>8946</v>
      </c>
      <c r="H276" s="132">
        <f>H277</f>
        <v>8929.6</v>
      </c>
      <c r="I276" s="121">
        <v>0</v>
      </c>
      <c r="J276" s="121">
        <f t="shared" si="34"/>
        <v>99.81667784484686</v>
      </c>
    </row>
    <row r="277" spans="1:10" ht="24">
      <c r="A277" s="129" t="s">
        <v>105</v>
      </c>
      <c r="B277" s="124" t="s">
        <v>1064</v>
      </c>
      <c r="C277" s="124" t="s">
        <v>1624</v>
      </c>
      <c r="D277" s="124" t="s">
        <v>1353</v>
      </c>
      <c r="E277" s="124" t="s">
        <v>106</v>
      </c>
      <c r="F277" s="135">
        <v>0</v>
      </c>
      <c r="G277" s="135">
        <f>8920+20+6</f>
        <v>8946</v>
      </c>
      <c r="H277" s="135">
        <v>8929.6</v>
      </c>
      <c r="I277" s="121">
        <v>0</v>
      </c>
      <c r="J277" s="121">
        <f t="shared" si="34"/>
        <v>99.81667784484686</v>
      </c>
    </row>
    <row r="278" spans="1:10" ht="24">
      <c r="A278" s="130" t="s">
        <v>1312</v>
      </c>
      <c r="B278" s="124" t="s">
        <v>1064</v>
      </c>
      <c r="C278" s="124" t="s">
        <v>1624</v>
      </c>
      <c r="D278" s="124" t="s">
        <v>1353</v>
      </c>
      <c r="E278" s="124" t="s">
        <v>1704</v>
      </c>
      <c r="F278" s="132">
        <f>F279</f>
        <v>0</v>
      </c>
      <c r="G278" s="132">
        <f>G279</f>
        <v>369</v>
      </c>
      <c r="H278" s="132">
        <f>H279</f>
        <v>360</v>
      </c>
      <c r="I278" s="121">
        <v>0</v>
      </c>
      <c r="J278" s="121">
        <f t="shared" si="34"/>
        <v>97.5609756097561</v>
      </c>
    </row>
    <row r="279" spans="1:10" ht="24">
      <c r="A279" s="130" t="s">
        <v>621</v>
      </c>
      <c r="B279" s="124" t="s">
        <v>1064</v>
      </c>
      <c r="C279" s="124" t="s">
        <v>1624</v>
      </c>
      <c r="D279" s="124" t="s">
        <v>1353</v>
      </c>
      <c r="E279" s="124" t="s">
        <v>1619</v>
      </c>
      <c r="F279" s="135">
        <v>0</v>
      </c>
      <c r="G279" s="135">
        <f>769-400</f>
        <v>369</v>
      </c>
      <c r="H279" s="135">
        <v>360</v>
      </c>
      <c r="I279" s="121">
        <v>0</v>
      </c>
      <c r="J279" s="121">
        <f t="shared" si="34"/>
        <v>97.5609756097561</v>
      </c>
    </row>
    <row r="280" spans="1:10" ht="24">
      <c r="A280" s="133" t="s">
        <v>1694</v>
      </c>
      <c r="B280" s="124" t="s">
        <v>1064</v>
      </c>
      <c r="C280" s="124" t="s">
        <v>1629</v>
      </c>
      <c r="D280" s="124"/>
      <c r="E280" s="148"/>
      <c r="F280" s="132">
        <f>F281+F288+F293</f>
        <v>4170.6</v>
      </c>
      <c r="G280" s="132">
        <f>G281+G288+G293</f>
        <v>46698.1</v>
      </c>
      <c r="H280" s="132">
        <f>H281+H288+H293</f>
        <v>46249.8</v>
      </c>
      <c r="I280" s="121">
        <f t="shared" si="33"/>
        <v>1108.9483527549992</v>
      </c>
      <c r="J280" s="121">
        <f t="shared" si="34"/>
        <v>99.04000376888996</v>
      </c>
    </row>
    <row r="281" spans="1:10" ht="24">
      <c r="A281" s="137" t="s">
        <v>1454</v>
      </c>
      <c r="B281" s="124" t="s">
        <v>1064</v>
      </c>
      <c r="C281" s="124" t="s">
        <v>1629</v>
      </c>
      <c r="D281" s="124" t="s">
        <v>123</v>
      </c>
      <c r="E281" s="124"/>
      <c r="F281" s="132">
        <f>F282</f>
        <v>2450</v>
      </c>
      <c r="G281" s="132">
        <f>G282</f>
        <v>41300</v>
      </c>
      <c r="H281" s="132">
        <f>H282</f>
        <v>41298.8</v>
      </c>
      <c r="I281" s="121">
        <f t="shared" si="33"/>
        <v>1685.6653061224492</v>
      </c>
      <c r="J281" s="121">
        <f t="shared" si="34"/>
        <v>99.99709443099275</v>
      </c>
    </row>
    <row r="282" spans="1:10" ht="108">
      <c r="A282" s="134" t="s">
        <v>490</v>
      </c>
      <c r="B282" s="124" t="s">
        <v>1064</v>
      </c>
      <c r="C282" s="124" t="s">
        <v>1629</v>
      </c>
      <c r="D282" s="124" t="s">
        <v>1248</v>
      </c>
      <c r="E282" s="124"/>
      <c r="F282" s="132">
        <f>F283+F286</f>
        <v>2450</v>
      </c>
      <c r="G282" s="132">
        <f>G283+G286</f>
        <v>41300</v>
      </c>
      <c r="H282" s="132">
        <f>H283+H286</f>
        <v>41298.8</v>
      </c>
      <c r="I282" s="121">
        <f t="shared" si="33"/>
        <v>1685.6653061224492</v>
      </c>
      <c r="J282" s="121">
        <f t="shared" si="34"/>
        <v>99.99709443099275</v>
      </c>
    </row>
    <row r="283" spans="1:10" ht="24">
      <c r="A283" s="14" t="s">
        <v>509</v>
      </c>
      <c r="B283" s="124" t="s">
        <v>1064</v>
      </c>
      <c r="C283" s="124" t="s">
        <v>1629</v>
      </c>
      <c r="D283" s="124" t="s">
        <v>491</v>
      </c>
      <c r="E283" s="148"/>
      <c r="F283" s="132">
        <f aca="true" t="shared" si="35" ref="F283:H284">F284</f>
        <v>2450</v>
      </c>
      <c r="G283" s="132">
        <f t="shared" si="35"/>
        <v>1300</v>
      </c>
      <c r="H283" s="132">
        <f t="shared" si="35"/>
        <v>1298.8</v>
      </c>
      <c r="I283" s="121">
        <f t="shared" si="33"/>
        <v>53.012244897959185</v>
      </c>
      <c r="J283" s="121">
        <f t="shared" si="34"/>
        <v>99.90769230769232</v>
      </c>
    </row>
    <row r="284" spans="1:10" ht="24">
      <c r="A284" s="130" t="s">
        <v>1312</v>
      </c>
      <c r="B284" s="124" t="s">
        <v>1064</v>
      </c>
      <c r="C284" s="124" t="s">
        <v>1629</v>
      </c>
      <c r="D284" s="124" t="s">
        <v>491</v>
      </c>
      <c r="E284" s="148" t="s">
        <v>1704</v>
      </c>
      <c r="F284" s="132">
        <f t="shared" si="35"/>
        <v>2450</v>
      </c>
      <c r="G284" s="132">
        <f t="shared" si="35"/>
        <v>1300</v>
      </c>
      <c r="H284" s="132">
        <f t="shared" si="35"/>
        <v>1298.8</v>
      </c>
      <c r="I284" s="121">
        <f t="shared" si="33"/>
        <v>53.012244897959185</v>
      </c>
      <c r="J284" s="121">
        <f t="shared" si="34"/>
        <v>99.90769230769232</v>
      </c>
    </row>
    <row r="285" spans="1:10" ht="24">
      <c r="A285" s="130" t="s">
        <v>1406</v>
      </c>
      <c r="B285" s="124" t="s">
        <v>1064</v>
      </c>
      <c r="C285" s="124" t="s">
        <v>1629</v>
      </c>
      <c r="D285" s="124" t="s">
        <v>491</v>
      </c>
      <c r="E285" s="148" t="s">
        <v>1619</v>
      </c>
      <c r="F285" s="135">
        <f>2450</f>
        <v>2450</v>
      </c>
      <c r="G285" s="135">
        <f>2450-100-50-1000</f>
        <v>1300</v>
      </c>
      <c r="H285" s="135">
        <v>1298.8</v>
      </c>
      <c r="I285" s="121">
        <f t="shared" si="33"/>
        <v>53.012244897959185</v>
      </c>
      <c r="J285" s="121">
        <f t="shared" si="34"/>
        <v>99.90769230769232</v>
      </c>
    </row>
    <row r="286" spans="1:10" ht="36">
      <c r="A286" s="130" t="s">
        <v>592</v>
      </c>
      <c r="B286" s="124" t="s">
        <v>1064</v>
      </c>
      <c r="C286" s="124" t="s">
        <v>1629</v>
      </c>
      <c r="D286" s="124" t="s">
        <v>491</v>
      </c>
      <c r="E286" s="148" t="s">
        <v>107</v>
      </c>
      <c r="F286" s="132">
        <f>F287</f>
        <v>0</v>
      </c>
      <c r="G286" s="132">
        <f>G287</f>
        <v>40000</v>
      </c>
      <c r="H286" s="132">
        <f>H287</f>
        <v>40000</v>
      </c>
      <c r="I286" s="121">
        <v>0</v>
      </c>
      <c r="J286" s="121">
        <f t="shared" si="34"/>
        <v>100</v>
      </c>
    </row>
    <row r="287" spans="1:10" ht="15.75">
      <c r="A287" s="130" t="s">
        <v>1528</v>
      </c>
      <c r="B287" s="124" t="s">
        <v>1064</v>
      </c>
      <c r="C287" s="124" t="s">
        <v>1629</v>
      </c>
      <c r="D287" s="124" t="s">
        <v>491</v>
      </c>
      <c r="E287" s="148" t="s">
        <v>1529</v>
      </c>
      <c r="F287" s="135">
        <v>0</v>
      </c>
      <c r="G287" s="135">
        <v>40000</v>
      </c>
      <c r="H287" s="135">
        <v>40000</v>
      </c>
      <c r="I287" s="121">
        <v>0</v>
      </c>
      <c r="J287" s="121">
        <f t="shared" si="34"/>
        <v>100</v>
      </c>
    </row>
    <row r="288" spans="1:10" ht="36">
      <c r="A288" s="149" t="s">
        <v>492</v>
      </c>
      <c r="B288" s="124" t="s">
        <v>1064</v>
      </c>
      <c r="C288" s="124" t="s">
        <v>1629</v>
      </c>
      <c r="D288" s="124" t="s">
        <v>1727</v>
      </c>
      <c r="E288" s="148"/>
      <c r="F288" s="132">
        <f aca="true" t="shared" si="36" ref="F288:H289">F289</f>
        <v>720.6</v>
      </c>
      <c r="G288" s="132">
        <f t="shared" si="36"/>
        <v>2798.1</v>
      </c>
      <c r="H288" s="132">
        <f t="shared" si="36"/>
        <v>2728.5</v>
      </c>
      <c r="I288" s="121">
        <f t="shared" si="33"/>
        <v>378.6427976686095</v>
      </c>
      <c r="J288" s="121">
        <f t="shared" si="34"/>
        <v>97.51259783424467</v>
      </c>
    </row>
    <row r="289" spans="1:10" ht="36">
      <c r="A289" s="130" t="s">
        <v>493</v>
      </c>
      <c r="B289" s="124" t="s">
        <v>1064</v>
      </c>
      <c r="C289" s="124" t="s">
        <v>1629</v>
      </c>
      <c r="D289" s="124" t="s">
        <v>1508</v>
      </c>
      <c r="E289" s="148"/>
      <c r="F289" s="132">
        <f t="shared" si="36"/>
        <v>720.6</v>
      </c>
      <c r="G289" s="132">
        <f t="shared" si="36"/>
        <v>2798.1</v>
      </c>
      <c r="H289" s="132">
        <f t="shared" si="36"/>
        <v>2728.5</v>
      </c>
      <c r="I289" s="121">
        <f t="shared" si="33"/>
        <v>378.6427976686095</v>
      </c>
      <c r="J289" s="121">
        <f t="shared" si="34"/>
        <v>97.51259783424467</v>
      </c>
    </row>
    <row r="290" spans="1:10" ht="72">
      <c r="A290" s="129" t="s">
        <v>1298</v>
      </c>
      <c r="B290" s="124" t="s">
        <v>1064</v>
      </c>
      <c r="C290" s="124" t="s">
        <v>1629</v>
      </c>
      <c r="D290" s="124" t="s">
        <v>494</v>
      </c>
      <c r="E290" s="148"/>
      <c r="F290" s="132">
        <f>F292</f>
        <v>720.6</v>
      </c>
      <c r="G290" s="132">
        <f>G292</f>
        <v>2798.1</v>
      </c>
      <c r="H290" s="132">
        <f>H292</f>
        <v>2728.5</v>
      </c>
      <c r="I290" s="121">
        <f t="shared" si="33"/>
        <v>378.6427976686095</v>
      </c>
      <c r="J290" s="121">
        <f t="shared" si="34"/>
        <v>97.51259783424467</v>
      </c>
    </row>
    <row r="291" spans="1:10" ht="36">
      <c r="A291" s="129" t="s">
        <v>752</v>
      </c>
      <c r="B291" s="124" t="s">
        <v>1064</v>
      </c>
      <c r="C291" s="124" t="s">
        <v>1629</v>
      </c>
      <c r="D291" s="124" t="s">
        <v>494</v>
      </c>
      <c r="E291" s="148" t="s">
        <v>751</v>
      </c>
      <c r="F291" s="132">
        <f>F292</f>
        <v>720.6</v>
      </c>
      <c r="G291" s="132">
        <f>G292</f>
        <v>2798.1</v>
      </c>
      <c r="H291" s="132">
        <f>H292</f>
        <v>2728.5</v>
      </c>
      <c r="I291" s="121">
        <f t="shared" si="33"/>
        <v>378.6427976686095</v>
      </c>
      <c r="J291" s="121">
        <f t="shared" si="34"/>
        <v>97.51259783424467</v>
      </c>
    </row>
    <row r="292" spans="1:10" ht="15.75">
      <c r="A292" s="134" t="s">
        <v>1435</v>
      </c>
      <c r="B292" s="124" t="s">
        <v>1064</v>
      </c>
      <c r="C292" s="124" t="s">
        <v>1629</v>
      </c>
      <c r="D292" s="124" t="s">
        <v>494</v>
      </c>
      <c r="E292" s="124" t="s">
        <v>1436</v>
      </c>
      <c r="F292" s="135">
        <f>720.6</f>
        <v>720.6</v>
      </c>
      <c r="G292" s="135">
        <f>720.6+3000-722.5-200</f>
        <v>2798.1</v>
      </c>
      <c r="H292" s="135">
        <v>2728.5</v>
      </c>
      <c r="I292" s="121">
        <f t="shared" si="33"/>
        <v>378.6427976686095</v>
      </c>
      <c r="J292" s="121">
        <f t="shared" si="34"/>
        <v>97.51259783424467</v>
      </c>
    </row>
    <row r="293" spans="1:10" ht="36">
      <c r="A293" s="141" t="s">
        <v>552</v>
      </c>
      <c r="B293" s="124" t="s">
        <v>1064</v>
      </c>
      <c r="C293" s="124" t="s">
        <v>1629</v>
      </c>
      <c r="D293" s="124" t="s">
        <v>546</v>
      </c>
      <c r="E293" s="124"/>
      <c r="F293" s="132">
        <f>F294</f>
        <v>1000</v>
      </c>
      <c r="G293" s="132">
        <f>G294</f>
        <v>2600</v>
      </c>
      <c r="H293" s="132">
        <f>H294</f>
        <v>2222.5</v>
      </c>
      <c r="I293" s="121">
        <f t="shared" si="33"/>
        <v>222.25</v>
      </c>
      <c r="J293" s="121">
        <f t="shared" si="34"/>
        <v>85.48076923076923</v>
      </c>
    </row>
    <row r="294" spans="1:10" ht="36">
      <c r="A294" s="129" t="s">
        <v>495</v>
      </c>
      <c r="B294" s="124" t="s">
        <v>1064</v>
      </c>
      <c r="C294" s="124" t="s">
        <v>1629</v>
      </c>
      <c r="D294" s="124" t="s">
        <v>496</v>
      </c>
      <c r="E294" s="124"/>
      <c r="F294" s="132">
        <f>F295+F298+F303+F300</f>
        <v>1000</v>
      </c>
      <c r="G294" s="132">
        <f>G295+G298+G303+G300</f>
        <v>2600</v>
      </c>
      <c r="H294" s="132">
        <f>H295+H298+H303+H300</f>
        <v>2222.5</v>
      </c>
      <c r="I294" s="121">
        <f t="shared" si="33"/>
        <v>222.25</v>
      </c>
      <c r="J294" s="121">
        <f t="shared" si="34"/>
        <v>85.48076923076923</v>
      </c>
    </row>
    <row r="295" spans="1:10" ht="15.75">
      <c r="A295" s="130" t="s">
        <v>910</v>
      </c>
      <c r="B295" s="124" t="s">
        <v>1064</v>
      </c>
      <c r="C295" s="124" t="s">
        <v>1629</v>
      </c>
      <c r="D295" s="124" t="s">
        <v>128</v>
      </c>
      <c r="E295" s="124" t="s">
        <v>911</v>
      </c>
      <c r="F295" s="132">
        <f>F296+F297</f>
        <v>500</v>
      </c>
      <c r="G295" s="132">
        <f>G296+G297</f>
        <v>600</v>
      </c>
      <c r="H295" s="132">
        <f>H296+H297</f>
        <v>578.2</v>
      </c>
      <c r="I295" s="121">
        <f t="shared" si="33"/>
        <v>115.64000000000001</v>
      </c>
      <c r="J295" s="121">
        <f t="shared" si="34"/>
        <v>96.36666666666667</v>
      </c>
    </row>
    <row r="296" spans="1:10" ht="60">
      <c r="A296" s="134" t="s">
        <v>1349</v>
      </c>
      <c r="B296" s="124" t="s">
        <v>1064</v>
      </c>
      <c r="C296" s="124" t="s">
        <v>1629</v>
      </c>
      <c r="D296" s="124" t="s">
        <v>128</v>
      </c>
      <c r="E296" s="124" t="s">
        <v>1267</v>
      </c>
      <c r="F296" s="135">
        <f>500</f>
        <v>500</v>
      </c>
      <c r="G296" s="135">
        <f>500</f>
        <v>500</v>
      </c>
      <c r="H296" s="135">
        <f>500</f>
        <v>500</v>
      </c>
      <c r="I296" s="121">
        <f t="shared" si="33"/>
        <v>100</v>
      </c>
      <c r="J296" s="121">
        <f t="shared" si="34"/>
        <v>100</v>
      </c>
    </row>
    <row r="297" spans="1:10" ht="60">
      <c r="A297" s="134" t="s">
        <v>1530</v>
      </c>
      <c r="B297" s="124" t="s">
        <v>1064</v>
      </c>
      <c r="C297" s="124" t="s">
        <v>1629</v>
      </c>
      <c r="D297" s="124" t="s">
        <v>128</v>
      </c>
      <c r="E297" s="124" t="s">
        <v>913</v>
      </c>
      <c r="F297" s="135">
        <v>0</v>
      </c>
      <c r="G297" s="135">
        <v>100</v>
      </c>
      <c r="H297" s="135">
        <v>78.2</v>
      </c>
      <c r="I297" s="121">
        <v>0</v>
      </c>
      <c r="J297" s="121">
        <f t="shared" si="34"/>
        <v>78.2</v>
      </c>
    </row>
    <row r="298" spans="1:10" ht="15.75">
      <c r="A298" s="130" t="s">
        <v>910</v>
      </c>
      <c r="B298" s="124" t="s">
        <v>1064</v>
      </c>
      <c r="C298" s="124" t="s">
        <v>1629</v>
      </c>
      <c r="D298" s="124" t="s">
        <v>129</v>
      </c>
      <c r="E298" s="124" t="s">
        <v>911</v>
      </c>
      <c r="F298" s="132">
        <f>F299</f>
        <v>500</v>
      </c>
      <c r="G298" s="132">
        <f>G299</f>
        <v>500</v>
      </c>
      <c r="H298" s="132">
        <f>H299</f>
        <v>144.3</v>
      </c>
      <c r="I298" s="121">
        <f t="shared" si="33"/>
        <v>28.860000000000003</v>
      </c>
      <c r="J298" s="121">
        <f t="shared" si="34"/>
        <v>28.860000000000003</v>
      </c>
    </row>
    <row r="299" spans="1:10" ht="60">
      <c r="A299" s="134" t="s">
        <v>1287</v>
      </c>
      <c r="B299" s="124" t="s">
        <v>1064</v>
      </c>
      <c r="C299" s="124" t="s">
        <v>1629</v>
      </c>
      <c r="D299" s="124" t="s">
        <v>129</v>
      </c>
      <c r="E299" s="124" t="s">
        <v>1267</v>
      </c>
      <c r="F299" s="135">
        <v>500</v>
      </c>
      <c r="G299" s="135">
        <v>500</v>
      </c>
      <c r="H299" s="135">
        <v>144.3</v>
      </c>
      <c r="I299" s="121">
        <f t="shared" si="33"/>
        <v>28.860000000000003</v>
      </c>
      <c r="J299" s="121">
        <f t="shared" si="34"/>
        <v>28.860000000000003</v>
      </c>
    </row>
    <row r="300" spans="1:10" ht="108">
      <c r="A300" s="134" t="s">
        <v>1463</v>
      </c>
      <c r="B300" s="124" t="s">
        <v>1064</v>
      </c>
      <c r="C300" s="124" t="s">
        <v>1629</v>
      </c>
      <c r="D300" s="124" t="s">
        <v>1464</v>
      </c>
      <c r="E300" s="124"/>
      <c r="F300" s="132">
        <f aca="true" t="shared" si="37" ref="F300:H301">F301</f>
        <v>0</v>
      </c>
      <c r="G300" s="132">
        <f t="shared" si="37"/>
        <v>1200</v>
      </c>
      <c r="H300" s="132">
        <f t="shared" si="37"/>
        <v>1200</v>
      </c>
      <c r="I300" s="121">
        <v>0</v>
      </c>
      <c r="J300" s="121">
        <f t="shared" si="34"/>
        <v>100</v>
      </c>
    </row>
    <row r="301" spans="1:10" ht="15.75">
      <c r="A301" s="130" t="s">
        <v>910</v>
      </c>
      <c r="B301" s="124" t="s">
        <v>1064</v>
      </c>
      <c r="C301" s="124" t="s">
        <v>1629</v>
      </c>
      <c r="D301" s="124" t="s">
        <v>1464</v>
      </c>
      <c r="E301" s="124" t="s">
        <v>911</v>
      </c>
      <c r="F301" s="132">
        <f t="shared" si="37"/>
        <v>0</v>
      </c>
      <c r="G301" s="132">
        <f t="shared" si="37"/>
        <v>1200</v>
      </c>
      <c r="H301" s="132">
        <f t="shared" si="37"/>
        <v>1200</v>
      </c>
      <c r="I301" s="121">
        <v>0</v>
      </c>
      <c r="J301" s="121">
        <f t="shared" si="34"/>
        <v>100</v>
      </c>
    </row>
    <row r="302" spans="1:10" ht="60">
      <c r="A302" s="134" t="s">
        <v>1287</v>
      </c>
      <c r="B302" s="124" t="s">
        <v>1064</v>
      </c>
      <c r="C302" s="124" t="s">
        <v>1629</v>
      </c>
      <c r="D302" s="124" t="s">
        <v>1464</v>
      </c>
      <c r="E302" s="124" t="s">
        <v>1267</v>
      </c>
      <c r="F302" s="135">
        <v>0</v>
      </c>
      <c r="G302" s="135">
        <v>1200</v>
      </c>
      <c r="H302" s="135">
        <v>1200</v>
      </c>
      <c r="I302" s="121">
        <v>0</v>
      </c>
      <c r="J302" s="121">
        <f t="shared" si="34"/>
        <v>100</v>
      </c>
    </row>
    <row r="303" spans="1:10" ht="96">
      <c r="A303" s="134" t="s">
        <v>662</v>
      </c>
      <c r="B303" s="124" t="s">
        <v>1064</v>
      </c>
      <c r="C303" s="124" t="s">
        <v>1629</v>
      </c>
      <c r="D303" s="124" t="s">
        <v>663</v>
      </c>
      <c r="E303" s="124"/>
      <c r="F303" s="132">
        <f aca="true" t="shared" si="38" ref="F303:H304">F304</f>
        <v>0</v>
      </c>
      <c r="G303" s="132">
        <f t="shared" si="38"/>
        <v>300</v>
      </c>
      <c r="H303" s="132">
        <f t="shared" si="38"/>
        <v>300</v>
      </c>
      <c r="I303" s="121">
        <v>0</v>
      </c>
      <c r="J303" s="121">
        <f t="shared" si="34"/>
        <v>100</v>
      </c>
    </row>
    <row r="304" spans="1:10" ht="15.75">
      <c r="A304" s="130" t="s">
        <v>910</v>
      </c>
      <c r="B304" s="124" t="s">
        <v>1064</v>
      </c>
      <c r="C304" s="124" t="s">
        <v>1629</v>
      </c>
      <c r="D304" s="124" t="s">
        <v>663</v>
      </c>
      <c r="E304" s="124" t="s">
        <v>911</v>
      </c>
      <c r="F304" s="132">
        <f t="shared" si="38"/>
        <v>0</v>
      </c>
      <c r="G304" s="132">
        <f t="shared" si="38"/>
        <v>300</v>
      </c>
      <c r="H304" s="132">
        <f t="shared" si="38"/>
        <v>300</v>
      </c>
      <c r="I304" s="121">
        <v>0</v>
      </c>
      <c r="J304" s="121">
        <f t="shared" si="34"/>
        <v>100</v>
      </c>
    </row>
    <row r="305" spans="1:10" ht="60">
      <c r="A305" s="134" t="s">
        <v>1287</v>
      </c>
      <c r="B305" s="124" t="s">
        <v>1064</v>
      </c>
      <c r="C305" s="124" t="s">
        <v>1629</v>
      </c>
      <c r="D305" s="124" t="s">
        <v>663</v>
      </c>
      <c r="E305" s="124" t="s">
        <v>1267</v>
      </c>
      <c r="F305" s="135">
        <v>0</v>
      </c>
      <c r="G305" s="135">
        <v>300</v>
      </c>
      <c r="H305" s="135">
        <v>300</v>
      </c>
      <c r="I305" s="121">
        <v>0</v>
      </c>
      <c r="J305" s="121">
        <f t="shared" si="34"/>
        <v>100</v>
      </c>
    </row>
    <row r="306" spans="1:10" ht="25.5">
      <c r="A306" s="144" t="s">
        <v>1628</v>
      </c>
      <c r="B306" s="150" t="s">
        <v>1623</v>
      </c>
      <c r="C306" s="150"/>
      <c r="D306" s="148"/>
      <c r="E306" s="148"/>
      <c r="F306" s="125">
        <f>F307+F326+F351</f>
        <v>553548</v>
      </c>
      <c r="G306" s="125">
        <f>G307+G326+G351</f>
        <v>674766.6000000001</v>
      </c>
      <c r="H306" s="125">
        <f>H307+H326+H351</f>
        <v>618307.11</v>
      </c>
      <c r="I306" s="121">
        <f t="shared" si="33"/>
        <v>111.69891499924125</v>
      </c>
      <c r="J306" s="121">
        <f t="shared" si="34"/>
        <v>91.63273789781532</v>
      </c>
    </row>
    <row r="307" spans="1:10" ht="15.75">
      <c r="A307" s="133" t="s">
        <v>1640</v>
      </c>
      <c r="B307" s="148" t="s">
        <v>1623</v>
      </c>
      <c r="C307" s="148" t="s">
        <v>1594</v>
      </c>
      <c r="D307" s="148"/>
      <c r="E307" s="148"/>
      <c r="F307" s="132">
        <f>F308+F322</f>
        <v>48811.3</v>
      </c>
      <c r="G307" s="132">
        <f>G308+G322</f>
        <v>82052</v>
      </c>
      <c r="H307" s="132">
        <f>H308+H322</f>
        <v>71585.3</v>
      </c>
      <c r="I307" s="121">
        <f t="shared" si="33"/>
        <v>146.65722896132658</v>
      </c>
      <c r="J307" s="121">
        <f t="shared" si="34"/>
        <v>87.24382099156632</v>
      </c>
    </row>
    <row r="308" spans="1:10" ht="36">
      <c r="A308" s="149" t="s">
        <v>492</v>
      </c>
      <c r="B308" s="148" t="s">
        <v>1623</v>
      </c>
      <c r="C308" s="148" t="s">
        <v>1594</v>
      </c>
      <c r="D308" s="148" t="s">
        <v>1727</v>
      </c>
      <c r="E308" s="148"/>
      <c r="F308" s="132">
        <f>F309</f>
        <v>40282.3</v>
      </c>
      <c r="G308" s="132">
        <f>G309</f>
        <v>55071.1</v>
      </c>
      <c r="H308" s="132">
        <f>H309</f>
        <v>46090.5</v>
      </c>
      <c r="I308" s="121">
        <f t="shared" si="33"/>
        <v>114.41873974425492</v>
      </c>
      <c r="J308" s="121">
        <f t="shared" si="34"/>
        <v>83.69271723281358</v>
      </c>
    </row>
    <row r="309" spans="1:10" ht="84">
      <c r="A309" s="129" t="s">
        <v>1669</v>
      </c>
      <c r="B309" s="148" t="s">
        <v>1623</v>
      </c>
      <c r="C309" s="148" t="s">
        <v>1594</v>
      </c>
      <c r="D309" s="148" t="s">
        <v>805</v>
      </c>
      <c r="E309" s="148"/>
      <c r="F309" s="132">
        <f>F310+F312+F316+F314+F319</f>
        <v>40282.3</v>
      </c>
      <c r="G309" s="132">
        <f>G310+G312+G316+G314+G319</f>
        <v>55071.1</v>
      </c>
      <c r="H309" s="132">
        <f>H310+H312+H316+H314+H319</f>
        <v>46090.5</v>
      </c>
      <c r="I309" s="121">
        <f t="shared" si="33"/>
        <v>114.41873974425492</v>
      </c>
      <c r="J309" s="121">
        <f t="shared" si="34"/>
        <v>83.69271723281358</v>
      </c>
    </row>
    <row r="310" spans="1:10" ht="24">
      <c r="A310" s="130" t="s">
        <v>1312</v>
      </c>
      <c r="B310" s="148" t="s">
        <v>1623</v>
      </c>
      <c r="C310" s="148" t="s">
        <v>1594</v>
      </c>
      <c r="D310" s="148" t="s">
        <v>130</v>
      </c>
      <c r="E310" s="148" t="s">
        <v>1704</v>
      </c>
      <c r="F310" s="132">
        <f>F311</f>
        <v>0</v>
      </c>
      <c r="G310" s="132">
        <f>G311</f>
        <v>14596.1</v>
      </c>
      <c r="H310" s="132">
        <f>H311</f>
        <v>9960.6</v>
      </c>
      <c r="I310" s="121">
        <v>0</v>
      </c>
      <c r="J310" s="121">
        <f t="shared" si="34"/>
        <v>68.24151656949459</v>
      </c>
    </row>
    <row r="311" spans="1:10" ht="24">
      <c r="A311" s="130" t="s">
        <v>621</v>
      </c>
      <c r="B311" s="148" t="s">
        <v>1623</v>
      </c>
      <c r="C311" s="148" t="s">
        <v>1594</v>
      </c>
      <c r="D311" s="148" t="s">
        <v>130</v>
      </c>
      <c r="E311" s="148" t="s">
        <v>1619</v>
      </c>
      <c r="F311" s="135">
        <v>0</v>
      </c>
      <c r="G311" s="135">
        <f>2167.9+12428.2</f>
        <v>14596.1</v>
      </c>
      <c r="H311" s="135">
        <v>9960.6</v>
      </c>
      <c r="I311" s="121">
        <v>0</v>
      </c>
      <c r="J311" s="121">
        <f t="shared" si="34"/>
        <v>68.24151656949459</v>
      </c>
    </row>
    <row r="312" spans="1:10" ht="15.75">
      <c r="A312" s="130" t="s">
        <v>910</v>
      </c>
      <c r="B312" s="148" t="s">
        <v>1623</v>
      </c>
      <c r="C312" s="148" t="s">
        <v>1594</v>
      </c>
      <c r="D312" s="148" t="s">
        <v>130</v>
      </c>
      <c r="E312" s="148" t="s">
        <v>911</v>
      </c>
      <c r="F312" s="132">
        <f>F313</f>
        <v>10000</v>
      </c>
      <c r="G312" s="132">
        <f>G313</f>
        <v>11475</v>
      </c>
      <c r="H312" s="132">
        <f>H313</f>
        <v>7441.1</v>
      </c>
      <c r="I312" s="121">
        <f t="shared" si="33"/>
        <v>74.411</v>
      </c>
      <c r="J312" s="121">
        <f t="shared" si="34"/>
        <v>64.84618736383443</v>
      </c>
    </row>
    <row r="313" spans="1:10" ht="36">
      <c r="A313" s="129" t="s">
        <v>1266</v>
      </c>
      <c r="B313" s="148" t="s">
        <v>1623</v>
      </c>
      <c r="C313" s="148" t="s">
        <v>1594</v>
      </c>
      <c r="D313" s="148" t="s">
        <v>130</v>
      </c>
      <c r="E313" s="148" t="s">
        <v>1267</v>
      </c>
      <c r="F313" s="135">
        <f>10000</f>
        <v>10000</v>
      </c>
      <c r="G313" s="135">
        <f>10000+1475</f>
        <v>11475</v>
      </c>
      <c r="H313" s="135">
        <v>7441.1</v>
      </c>
      <c r="I313" s="121">
        <f t="shared" si="33"/>
        <v>74.411</v>
      </c>
      <c r="J313" s="121">
        <f t="shared" si="34"/>
        <v>64.84618736383443</v>
      </c>
    </row>
    <row r="314" spans="1:10" ht="15.75">
      <c r="A314" s="130" t="s">
        <v>910</v>
      </c>
      <c r="B314" s="124" t="s">
        <v>1623</v>
      </c>
      <c r="C314" s="124" t="s">
        <v>1594</v>
      </c>
      <c r="D314" s="148" t="s">
        <v>131</v>
      </c>
      <c r="E314" s="148" t="s">
        <v>911</v>
      </c>
      <c r="F314" s="132">
        <f>F315</f>
        <v>30282.3</v>
      </c>
      <c r="G314" s="132">
        <f>G315</f>
        <v>29000</v>
      </c>
      <c r="H314" s="132">
        <f>H315</f>
        <v>28688.8</v>
      </c>
      <c r="I314" s="121">
        <f t="shared" si="33"/>
        <v>94.73785016329671</v>
      </c>
      <c r="J314" s="121">
        <f t="shared" si="34"/>
        <v>98.92689655172413</v>
      </c>
    </row>
    <row r="315" spans="1:10" ht="36">
      <c r="A315" s="129" t="s">
        <v>1266</v>
      </c>
      <c r="B315" s="124" t="s">
        <v>1623</v>
      </c>
      <c r="C315" s="124" t="s">
        <v>1594</v>
      </c>
      <c r="D315" s="148" t="s">
        <v>131</v>
      </c>
      <c r="E315" s="148" t="s">
        <v>1267</v>
      </c>
      <c r="F315" s="135">
        <f>30282.3</f>
        <v>30282.3</v>
      </c>
      <c r="G315" s="135">
        <f>30282.3-1282.3</f>
        <v>29000</v>
      </c>
      <c r="H315" s="135">
        <v>28688.8</v>
      </c>
      <c r="I315" s="121">
        <f t="shared" si="33"/>
        <v>94.73785016329671</v>
      </c>
      <c r="J315" s="121">
        <f t="shared" si="34"/>
        <v>98.92689655172413</v>
      </c>
    </row>
    <row r="316" spans="1:10" ht="36" hidden="1">
      <c r="A316" s="129" t="s">
        <v>1711</v>
      </c>
      <c r="B316" s="124" t="s">
        <v>1623</v>
      </c>
      <c r="C316" s="124" t="s">
        <v>1594</v>
      </c>
      <c r="D316" s="148" t="s">
        <v>968</v>
      </c>
      <c r="E316" s="148"/>
      <c r="F316" s="132">
        <f aca="true" t="shared" si="39" ref="F316:H317">F317</f>
        <v>0</v>
      </c>
      <c r="G316" s="132">
        <f t="shared" si="39"/>
        <v>0</v>
      </c>
      <c r="H316" s="132">
        <f t="shared" si="39"/>
        <v>0</v>
      </c>
      <c r="I316" s="121" t="e">
        <f t="shared" si="33"/>
        <v>#DIV/0!</v>
      </c>
      <c r="J316" s="121" t="e">
        <f t="shared" si="34"/>
        <v>#DIV/0!</v>
      </c>
    </row>
    <row r="317" spans="1:10" ht="24" hidden="1">
      <c r="A317" s="130" t="s">
        <v>1312</v>
      </c>
      <c r="B317" s="124" t="s">
        <v>1623</v>
      </c>
      <c r="C317" s="124" t="s">
        <v>1594</v>
      </c>
      <c r="D317" s="148" t="s">
        <v>968</v>
      </c>
      <c r="E317" s="148" t="s">
        <v>1704</v>
      </c>
      <c r="F317" s="132">
        <f t="shared" si="39"/>
        <v>0</v>
      </c>
      <c r="G317" s="132">
        <f t="shared" si="39"/>
        <v>0</v>
      </c>
      <c r="H317" s="132">
        <f t="shared" si="39"/>
        <v>0</v>
      </c>
      <c r="I317" s="121" t="e">
        <f t="shared" si="33"/>
        <v>#DIV/0!</v>
      </c>
      <c r="J317" s="121" t="e">
        <f t="shared" si="34"/>
        <v>#DIV/0!</v>
      </c>
    </row>
    <row r="318" spans="1:10" ht="24" hidden="1">
      <c r="A318" s="130" t="s">
        <v>621</v>
      </c>
      <c r="B318" s="124" t="s">
        <v>1623</v>
      </c>
      <c r="C318" s="124" t="s">
        <v>1594</v>
      </c>
      <c r="D318" s="148" t="s">
        <v>968</v>
      </c>
      <c r="E318" s="148" t="s">
        <v>1619</v>
      </c>
      <c r="F318" s="135">
        <f>56567-56567</f>
        <v>0</v>
      </c>
      <c r="G318" s="135">
        <f>56567-56567</f>
        <v>0</v>
      </c>
      <c r="H318" s="135">
        <f>56567-56567</f>
        <v>0</v>
      </c>
      <c r="I318" s="121" t="e">
        <f t="shared" si="33"/>
        <v>#DIV/0!</v>
      </c>
      <c r="J318" s="121" t="e">
        <f t="shared" si="34"/>
        <v>#DIV/0!</v>
      </c>
    </row>
    <row r="319" spans="1:10" ht="99.75" customHeight="1">
      <c r="A319" s="130" t="s">
        <v>786</v>
      </c>
      <c r="B319" s="124" t="s">
        <v>1623</v>
      </c>
      <c r="C319" s="124" t="s">
        <v>1594</v>
      </c>
      <c r="D319" s="148" t="s">
        <v>787</v>
      </c>
      <c r="E319" s="148"/>
      <c r="F319" s="132">
        <f aca="true" t="shared" si="40" ref="F319:H320">F320</f>
        <v>0</v>
      </c>
      <c r="G319" s="132">
        <f t="shared" si="40"/>
        <v>0</v>
      </c>
      <c r="H319" s="132">
        <f t="shared" si="40"/>
        <v>0</v>
      </c>
      <c r="I319" s="121">
        <v>0</v>
      </c>
      <c r="J319" s="121">
        <v>0</v>
      </c>
    </row>
    <row r="320" spans="1:10" ht="20.25" customHeight="1">
      <c r="A320" s="130" t="s">
        <v>910</v>
      </c>
      <c r="B320" s="124" t="s">
        <v>1623</v>
      </c>
      <c r="C320" s="124" t="s">
        <v>1594</v>
      </c>
      <c r="D320" s="148" t="s">
        <v>787</v>
      </c>
      <c r="E320" s="148" t="s">
        <v>911</v>
      </c>
      <c r="F320" s="132">
        <f t="shared" si="40"/>
        <v>0</v>
      </c>
      <c r="G320" s="132">
        <f t="shared" si="40"/>
        <v>0</v>
      </c>
      <c r="H320" s="132">
        <f t="shared" si="40"/>
        <v>0</v>
      </c>
      <c r="I320" s="121">
        <v>0</v>
      </c>
      <c r="J320" s="121">
        <v>0</v>
      </c>
    </row>
    <row r="321" spans="1:10" ht="36">
      <c r="A321" s="129" t="s">
        <v>1266</v>
      </c>
      <c r="B321" s="124" t="s">
        <v>1623</v>
      </c>
      <c r="C321" s="124" t="s">
        <v>1594</v>
      </c>
      <c r="D321" s="148" t="s">
        <v>787</v>
      </c>
      <c r="E321" s="148" t="s">
        <v>1267</v>
      </c>
      <c r="F321" s="135">
        <f>5830.5-5830.5</f>
        <v>0</v>
      </c>
      <c r="G321" s="135">
        <f>5830.5-5830.5</f>
        <v>0</v>
      </c>
      <c r="H321" s="135">
        <f>5830.5-5830.5</f>
        <v>0</v>
      </c>
      <c r="I321" s="121">
        <v>0</v>
      </c>
      <c r="J321" s="121">
        <v>0</v>
      </c>
    </row>
    <row r="322" spans="1:10" ht="24">
      <c r="A322" s="141" t="s">
        <v>788</v>
      </c>
      <c r="B322" s="124" t="s">
        <v>1623</v>
      </c>
      <c r="C322" s="124" t="s">
        <v>1594</v>
      </c>
      <c r="D322" s="124" t="s">
        <v>123</v>
      </c>
      <c r="E322" s="148"/>
      <c r="F322" s="132">
        <f aca="true" t="shared" si="41" ref="F322:H324">F323</f>
        <v>8529</v>
      </c>
      <c r="G322" s="132">
        <f t="shared" si="41"/>
        <v>26980.9</v>
      </c>
      <c r="H322" s="132">
        <f t="shared" si="41"/>
        <v>25494.8</v>
      </c>
      <c r="I322" s="121">
        <f t="shared" si="33"/>
        <v>298.91898229569705</v>
      </c>
      <c r="J322" s="121">
        <f t="shared" si="34"/>
        <v>94.49202954682757</v>
      </c>
    </row>
    <row r="323" spans="1:10" ht="108">
      <c r="A323" s="134" t="s">
        <v>490</v>
      </c>
      <c r="B323" s="124" t="s">
        <v>1623</v>
      </c>
      <c r="C323" s="124" t="s">
        <v>1594</v>
      </c>
      <c r="D323" s="124" t="s">
        <v>1248</v>
      </c>
      <c r="E323" s="148"/>
      <c r="F323" s="132">
        <f t="shared" si="41"/>
        <v>8529</v>
      </c>
      <c r="G323" s="132">
        <f t="shared" si="41"/>
        <v>26980.9</v>
      </c>
      <c r="H323" s="132">
        <f t="shared" si="41"/>
        <v>25494.8</v>
      </c>
      <c r="I323" s="121">
        <f t="shared" si="33"/>
        <v>298.91898229569705</v>
      </c>
      <c r="J323" s="121">
        <f t="shared" si="34"/>
        <v>94.49202954682757</v>
      </c>
    </row>
    <row r="324" spans="1:10" ht="24">
      <c r="A324" s="130" t="s">
        <v>1312</v>
      </c>
      <c r="B324" s="124" t="s">
        <v>1623</v>
      </c>
      <c r="C324" s="124" t="s">
        <v>1594</v>
      </c>
      <c r="D324" s="124" t="s">
        <v>132</v>
      </c>
      <c r="E324" s="148" t="s">
        <v>1704</v>
      </c>
      <c r="F324" s="132">
        <f t="shared" si="41"/>
        <v>8529</v>
      </c>
      <c r="G324" s="132">
        <f t="shared" si="41"/>
        <v>26980.9</v>
      </c>
      <c r="H324" s="132">
        <f t="shared" si="41"/>
        <v>25494.8</v>
      </c>
      <c r="I324" s="121">
        <f t="shared" si="33"/>
        <v>298.91898229569705</v>
      </c>
      <c r="J324" s="121">
        <f t="shared" si="34"/>
        <v>94.49202954682757</v>
      </c>
    </row>
    <row r="325" spans="1:10" ht="24">
      <c r="A325" s="130" t="s">
        <v>621</v>
      </c>
      <c r="B325" s="124" t="s">
        <v>1623</v>
      </c>
      <c r="C325" s="124" t="s">
        <v>1594</v>
      </c>
      <c r="D325" s="124" t="s">
        <v>132</v>
      </c>
      <c r="E325" s="148" t="s">
        <v>1619</v>
      </c>
      <c r="F325" s="135">
        <f>8529</f>
        <v>8529</v>
      </c>
      <c r="G325" s="135">
        <f>8529+200+420+380+393.3+90+16268.6+700</f>
        <v>26980.9</v>
      </c>
      <c r="H325" s="135">
        <v>25494.8</v>
      </c>
      <c r="I325" s="121">
        <f t="shared" si="33"/>
        <v>298.91898229569705</v>
      </c>
      <c r="J325" s="121">
        <f t="shared" si="34"/>
        <v>94.49202954682757</v>
      </c>
    </row>
    <row r="326" spans="1:10" ht="15.75">
      <c r="A326" s="3" t="s">
        <v>1211</v>
      </c>
      <c r="B326" s="124" t="s">
        <v>1623</v>
      </c>
      <c r="C326" s="124" t="s">
        <v>852</v>
      </c>
      <c r="D326" s="124"/>
      <c r="E326" s="124"/>
      <c r="F326" s="132">
        <f>F327</f>
        <v>260902.6</v>
      </c>
      <c r="G326" s="132">
        <f>G327</f>
        <v>332369.30000000005</v>
      </c>
      <c r="H326" s="132">
        <f>H327</f>
        <v>302802.42</v>
      </c>
      <c r="I326" s="121">
        <f t="shared" si="33"/>
        <v>116.05956399054666</v>
      </c>
      <c r="J326" s="121">
        <f t="shared" si="34"/>
        <v>91.10420848134889</v>
      </c>
    </row>
    <row r="327" spans="1:10" ht="36">
      <c r="A327" s="149" t="s">
        <v>492</v>
      </c>
      <c r="B327" s="124" t="s">
        <v>1623</v>
      </c>
      <c r="C327" s="124" t="s">
        <v>852</v>
      </c>
      <c r="D327" s="124" t="s">
        <v>1727</v>
      </c>
      <c r="E327" s="124"/>
      <c r="F327" s="132">
        <f>F328+F348</f>
        <v>260902.6</v>
      </c>
      <c r="G327" s="132">
        <f>G328+G348</f>
        <v>332369.30000000005</v>
      </c>
      <c r="H327" s="132">
        <f>H328+H348</f>
        <v>302802.42</v>
      </c>
      <c r="I327" s="121">
        <f t="shared" si="33"/>
        <v>116.05956399054666</v>
      </c>
      <c r="J327" s="121">
        <f t="shared" si="34"/>
        <v>91.10420848134889</v>
      </c>
    </row>
    <row r="328" spans="1:10" ht="36">
      <c r="A328" s="134" t="s">
        <v>416</v>
      </c>
      <c r="B328" s="124" t="s">
        <v>1623</v>
      </c>
      <c r="C328" s="124" t="s">
        <v>852</v>
      </c>
      <c r="D328" s="124" t="s">
        <v>1728</v>
      </c>
      <c r="E328" s="124"/>
      <c r="F328" s="132">
        <f>F329+F332+F347</f>
        <v>250902.6</v>
      </c>
      <c r="G328" s="132">
        <f>G329+G332+G347</f>
        <v>322511.9</v>
      </c>
      <c r="H328" s="132">
        <f>H329+H332+H347</f>
        <v>292945.01999999996</v>
      </c>
      <c r="I328" s="121">
        <f t="shared" si="33"/>
        <v>116.75647043912656</v>
      </c>
      <c r="J328" s="121">
        <f t="shared" si="34"/>
        <v>90.8323134743245</v>
      </c>
    </row>
    <row r="329" spans="1:10" ht="15.75">
      <c r="A329" s="130" t="s">
        <v>910</v>
      </c>
      <c r="B329" s="124" t="s">
        <v>1623</v>
      </c>
      <c r="C329" s="124" t="s">
        <v>852</v>
      </c>
      <c r="D329" s="148" t="s">
        <v>417</v>
      </c>
      <c r="E329" s="124" t="s">
        <v>911</v>
      </c>
      <c r="F329" s="132">
        <f>F330+F331</f>
        <v>37376</v>
      </c>
      <c r="G329" s="132">
        <f>G330+G331</f>
        <v>41376</v>
      </c>
      <c r="H329" s="132">
        <f>H330+H331</f>
        <v>41376</v>
      </c>
      <c r="I329" s="121">
        <f t="shared" si="33"/>
        <v>110.70205479452055</v>
      </c>
      <c r="J329" s="121">
        <f t="shared" si="34"/>
        <v>100</v>
      </c>
    </row>
    <row r="330" spans="1:10" ht="60">
      <c r="A330" s="129" t="s">
        <v>1643</v>
      </c>
      <c r="B330" s="124" t="s">
        <v>1623</v>
      </c>
      <c r="C330" s="124" t="s">
        <v>852</v>
      </c>
      <c r="D330" s="148" t="s">
        <v>417</v>
      </c>
      <c r="E330" s="124" t="s">
        <v>1267</v>
      </c>
      <c r="F330" s="135">
        <v>37376</v>
      </c>
      <c r="G330" s="135">
        <v>37376</v>
      </c>
      <c r="H330" s="135">
        <v>37376</v>
      </c>
      <c r="I330" s="121">
        <f t="shared" si="33"/>
        <v>100</v>
      </c>
      <c r="J330" s="121">
        <f t="shared" si="34"/>
        <v>100</v>
      </c>
    </row>
    <row r="331" spans="1:10" ht="60">
      <c r="A331" s="129" t="s">
        <v>1644</v>
      </c>
      <c r="B331" s="124" t="s">
        <v>1623</v>
      </c>
      <c r="C331" s="124" t="s">
        <v>852</v>
      </c>
      <c r="D331" s="148" t="s">
        <v>417</v>
      </c>
      <c r="E331" s="124" t="s">
        <v>1267</v>
      </c>
      <c r="F331" s="135">
        <v>0</v>
      </c>
      <c r="G331" s="135">
        <v>4000</v>
      </c>
      <c r="H331" s="135">
        <v>4000</v>
      </c>
      <c r="I331" s="121">
        <v>0</v>
      </c>
      <c r="J331" s="121">
        <f t="shared" si="34"/>
        <v>100</v>
      </c>
    </row>
    <row r="332" spans="1:10" ht="36">
      <c r="A332" s="129" t="s">
        <v>592</v>
      </c>
      <c r="B332" s="124" t="s">
        <v>1623</v>
      </c>
      <c r="C332" s="124" t="s">
        <v>852</v>
      </c>
      <c r="D332" s="148" t="s">
        <v>418</v>
      </c>
      <c r="E332" s="124" t="s">
        <v>107</v>
      </c>
      <c r="F332" s="132">
        <f>F333</f>
        <v>210013.7</v>
      </c>
      <c r="G332" s="132">
        <f>G333</f>
        <v>278635.9</v>
      </c>
      <c r="H332" s="132">
        <f>H333</f>
        <v>249104.72</v>
      </c>
      <c r="I332" s="121">
        <f t="shared" si="33"/>
        <v>118.61355711555959</v>
      </c>
      <c r="J332" s="121">
        <f t="shared" si="34"/>
        <v>89.40151645929329</v>
      </c>
    </row>
    <row r="333" spans="1:10" ht="60">
      <c r="A333" s="129" t="s">
        <v>387</v>
      </c>
      <c r="B333" s="124" t="s">
        <v>1623</v>
      </c>
      <c r="C333" s="124" t="s">
        <v>852</v>
      </c>
      <c r="D333" s="148" t="s">
        <v>418</v>
      </c>
      <c r="E333" s="124" t="s">
        <v>2</v>
      </c>
      <c r="F333" s="132">
        <f>SUM(F334:F344)</f>
        <v>210013.7</v>
      </c>
      <c r="G333" s="132">
        <f>SUM(G334:G344)</f>
        <v>278635.9</v>
      </c>
      <c r="H333" s="132">
        <f>SUM(H334:H344)</f>
        <v>249104.72</v>
      </c>
      <c r="I333" s="121">
        <f t="shared" si="33"/>
        <v>118.61355711555959</v>
      </c>
      <c r="J333" s="121">
        <f t="shared" si="34"/>
        <v>89.40151645929329</v>
      </c>
    </row>
    <row r="334" spans="1:10" ht="24">
      <c r="A334" s="129" t="s">
        <v>1288</v>
      </c>
      <c r="B334" s="124" t="s">
        <v>1623</v>
      </c>
      <c r="C334" s="124" t="s">
        <v>852</v>
      </c>
      <c r="D334" s="148" t="s">
        <v>418</v>
      </c>
      <c r="E334" s="124" t="s">
        <v>2</v>
      </c>
      <c r="F334" s="135">
        <f>17400</f>
        <v>17400</v>
      </c>
      <c r="G334" s="135">
        <f>17400+18300.2</f>
        <v>35700.2</v>
      </c>
      <c r="H334" s="135">
        <v>31909.8</v>
      </c>
      <c r="I334" s="121">
        <f t="shared" si="33"/>
        <v>183.3896551724138</v>
      </c>
      <c r="J334" s="121">
        <f t="shared" si="34"/>
        <v>89.3826925339354</v>
      </c>
    </row>
    <row r="335" spans="1:10" ht="24">
      <c r="A335" s="129" t="s">
        <v>1289</v>
      </c>
      <c r="B335" s="124" t="s">
        <v>1623</v>
      </c>
      <c r="C335" s="124" t="s">
        <v>852</v>
      </c>
      <c r="D335" s="148" t="s">
        <v>418</v>
      </c>
      <c r="E335" s="124" t="s">
        <v>2</v>
      </c>
      <c r="F335" s="135">
        <f>47422.2</f>
        <v>47422.2</v>
      </c>
      <c r="G335" s="135">
        <f>47422.2-15000</f>
        <v>32422.199999999997</v>
      </c>
      <c r="H335" s="135">
        <f>47422.2-15000</f>
        <v>32422.199999999997</v>
      </c>
      <c r="I335" s="121">
        <f t="shared" si="33"/>
        <v>68.36924478408847</v>
      </c>
      <c r="J335" s="121">
        <f t="shared" si="34"/>
        <v>100</v>
      </c>
    </row>
    <row r="336" spans="1:10" ht="41.25" customHeight="1" hidden="1">
      <c r="A336" s="129" t="s">
        <v>789</v>
      </c>
      <c r="B336" s="124" t="s">
        <v>1623</v>
      </c>
      <c r="C336" s="124" t="s">
        <v>852</v>
      </c>
      <c r="D336" s="148" t="s">
        <v>418</v>
      </c>
      <c r="E336" s="124" t="s">
        <v>2</v>
      </c>
      <c r="F336" s="135">
        <f>10350-10350</f>
        <v>0</v>
      </c>
      <c r="G336" s="135">
        <f>10350-10350</f>
        <v>0</v>
      </c>
      <c r="H336" s="135">
        <f>10350-10350</f>
        <v>0</v>
      </c>
      <c r="I336" s="121" t="e">
        <f>H336/F336*100</f>
        <v>#DIV/0!</v>
      </c>
      <c r="J336" s="121" t="e">
        <f aca="true" t="shared" si="42" ref="J336:J399">H336/G336*100</f>
        <v>#DIV/0!</v>
      </c>
    </row>
    <row r="337" spans="1:10" ht="36">
      <c r="A337" s="129" t="s">
        <v>790</v>
      </c>
      <c r="B337" s="124" t="s">
        <v>1623</v>
      </c>
      <c r="C337" s="124" t="s">
        <v>852</v>
      </c>
      <c r="D337" s="148" t="s">
        <v>418</v>
      </c>
      <c r="E337" s="124" t="s">
        <v>2</v>
      </c>
      <c r="F337" s="135">
        <v>0</v>
      </c>
      <c r="G337" s="135">
        <v>3000</v>
      </c>
      <c r="H337" s="135">
        <v>3000</v>
      </c>
      <c r="I337" s="121">
        <v>0</v>
      </c>
      <c r="J337" s="121">
        <f t="shared" si="42"/>
        <v>100</v>
      </c>
    </row>
    <row r="338" spans="1:10" ht="24">
      <c r="A338" s="129" t="s">
        <v>791</v>
      </c>
      <c r="B338" s="124" t="s">
        <v>1623</v>
      </c>
      <c r="C338" s="124" t="s">
        <v>852</v>
      </c>
      <c r="D338" s="148" t="s">
        <v>418</v>
      </c>
      <c r="E338" s="124" t="s">
        <v>2</v>
      </c>
      <c r="F338" s="135">
        <f>1037.1-1037.1</f>
        <v>0</v>
      </c>
      <c r="G338" s="135">
        <f>1037.1-1037.1</f>
        <v>0</v>
      </c>
      <c r="H338" s="135">
        <f>1037.1-1037.1</f>
        <v>0</v>
      </c>
      <c r="I338" s="121">
        <v>0</v>
      </c>
      <c r="J338" s="121">
        <v>0</v>
      </c>
    </row>
    <row r="339" spans="1:10" ht="36">
      <c r="A339" s="129" t="s">
        <v>1290</v>
      </c>
      <c r="B339" s="124" t="s">
        <v>1623</v>
      </c>
      <c r="C339" s="124" t="s">
        <v>852</v>
      </c>
      <c r="D339" s="148" t="s">
        <v>418</v>
      </c>
      <c r="E339" s="124" t="s">
        <v>2</v>
      </c>
      <c r="F339" s="135">
        <v>145191.5</v>
      </c>
      <c r="G339" s="135">
        <v>145191.5</v>
      </c>
      <c r="H339" s="135">
        <v>145191.5</v>
      </c>
      <c r="I339" s="121">
        <f>H339/F339*100</f>
        <v>100</v>
      </c>
      <c r="J339" s="121">
        <f t="shared" si="42"/>
        <v>100</v>
      </c>
    </row>
    <row r="340" spans="1:10" ht="46.5" customHeight="1">
      <c r="A340" s="129" t="s">
        <v>891</v>
      </c>
      <c r="B340" s="124" t="s">
        <v>1623</v>
      </c>
      <c r="C340" s="124" t="s">
        <v>852</v>
      </c>
      <c r="D340" s="148" t="s">
        <v>418</v>
      </c>
      <c r="E340" s="124" t="s">
        <v>2</v>
      </c>
      <c r="F340" s="135">
        <v>0</v>
      </c>
      <c r="G340" s="135">
        <v>35000</v>
      </c>
      <c r="H340" s="135">
        <v>34981.22</v>
      </c>
      <c r="I340" s="121">
        <v>0</v>
      </c>
      <c r="J340" s="121">
        <f t="shared" si="42"/>
        <v>99.94634285714285</v>
      </c>
    </row>
    <row r="341" spans="1:10" ht="54.75" customHeight="1">
      <c r="A341" s="129" t="s">
        <v>1645</v>
      </c>
      <c r="B341" s="124" t="s">
        <v>1623</v>
      </c>
      <c r="C341" s="124" t="s">
        <v>852</v>
      </c>
      <c r="D341" s="148" t="s">
        <v>418</v>
      </c>
      <c r="E341" s="124" t="s">
        <v>2</v>
      </c>
      <c r="F341" s="135">
        <v>0</v>
      </c>
      <c r="G341" s="135">
        <v>25000</v>
      </c>
      <c r="H341" s="135">
        <v>0</v>
      </c>
      <c r="I341" s="121">
        <v>0</v>
      </c>
      <c r="J341" s="121">
        <f t="shared" si="42"/>
        <v>0</v>
      </c>
    </row>
    <row r="342" spans="1:10" ht="24" hidden="1">
      <c r="A342" s="129" t="s">
        <v>792</v>
      </c>
      <c r="B342" s="124" t="s">
        <v>1623</v>
      </c>
      <c r="C342" s="124" t="s">
        <v>852</v>
      </c>
      <c r="D342" s="148" t="s">
        <v>418</v>
      </c>
      <c r="E342" s="124" t="s">
        <v>2</v>
      </c>
      <c r="F342" s="135">
        <f>4173.7-4173.7</f>
        <v>0</v>
      </c>
      <c r="G342" s="135">
        <f>4173.7-4173.7</f>
        <v>0</v>
      </c>
      <c r="H342" s="135">
        <f>4173.7-4173.7</f>
        <v>0</v>
      </c>
      <c r="I342" s="121">
        <v>0</v>
      </c>
      <c r="J342" s="121" t="e">
        <f t="shared" si="42"/>
        <v>#DIV/0!</v>
      </c>
    </row>
    <row r="343" spans="1:10" ht="36">
      <c r="A343" s="129" t="s">
        <v>1322</v>
      </c>
      <c r="B343" s="124" t="s">
        <v>1623</v>
      </c>
      <c r="C343" s="124" t="s">
        <v>852</v>
      </c>
      <c r="D343" s="148" t="s">
        <v>418</v>
      </c>
      <c r="E343" s="124" t="s">
        <v>2</v>
      </c>
      <c r="F343" s="135">
        <v>0</v>
      </c>
      <c r="G343" s="135">
        <v>722</v>
      </c>
      <c r="H343" s="135">
        <v>0</v>
      </c>
      <c r="I343" s="121">
        <v>0</v>
      </c>
      <c r="J343" s="121">
        <f t="shared" si="42"/>
        <v>0</v>
      </c>
    </row>
    <row r="344" spans="1:10" ht="36">
      <c r="A344" s="129" t="s">
        <v>1465</v>
      </c>
      <c r="B344" s="124" t="s">
        <v>1623</v>
      </c>
      <c r="C344" s="124" t="s">
        <v>852</v>
      </c>
      <c r="D344" s="148" t="s">
        <v>418</v>
      </c>
      <c r="E344" s="124" t="s">
        <v>2</v>
      </c>
      <c r="F344" s="135">
        <v>0</v>
      </c>
      <c r="G344" s="135">
        <v>1600</v>
      </c>
      <c r="H344" s="135">
        <v>1600</v>
      </c>
      <c r="I344" s="121">
        <v>0</v>
      </c>
      <c r="J344" s="121">
        <f t="shared" si="42"/>
        <v>100</v>
      </c>
    </row>
    <row r="345" spans="1:10" ht="60">
      <c r="A345" s="129" t="s">
        <v>573</v>
      </c>
      <c r="B345" s="124" t="s">
        <v>1623</v>
      </c>
      <c r="C345" s="124" t="s">
        <v>852</v>
      </c>
      <c r="D345" s="148" t="s">
        <v>419</v>
      </c>
      <c r="E345" s="124"/>
      <c r="F345" s="132">
        <f aca="true" t="shared" si="43" ref="F345:H346">F346</f>
        <v>3512.9</v>
      </c>
      <c r="G345" s="132">
        <f t="shared" si="43"/>
        <v>2500</v>
      </c>
      <c r="H345" s="132">
        <f t="shared" si="43"/>
        <v>2464.3</v>
      </c>
      <c r="I345" s="121">
        <f aca="true" t="shared" si="44" ref="I345:I365">H345/F345*100</f>
        <v>70.15001850323095</v>
      </c>
      <c r="J345" s="121">
        <f t="shared" si="42"/>
        <v>98.572</v>
      </c>
    </row>
    <row r="346" spans="1:10" ht="24">
      <c r="A346" s="130" t="s">
        <v>1312</v>
      </c>
      <c r="B346" s="124" t="s">
        <v>1623</v>
      </c>
      <c r="C346" s="124" t="s">
        <v>852</v>
      </c>
      <c r="D346" s="148" t="s">
        <v>419</v>
      </c>
      <c r="E346" s="124" t="s">
        <v>1704</v>
      </c>
      <c r="F346" s="132">
        <f t="shared" si="43"/>
        <v>3512.9</v>
      </c>
      <c r="G346" s="132">
        <f t="shared" si="43"/>
        <v>2500</v>
      </c>
      <c r="H346" s="132">
        <f t="shared" si="43"/>
        <v>2464.3</v>
      </c>
      <c r="I346" s="121">
        <f t="shared" si="44"/>
        <v>70.15001850323095</v>
      </c>
      <c r="J346" s="121">
        <f t="shared" si="42"/>
        <v>98.572</v>
      </c>
    </row>
    <row r="347" spans="1:10" ht="24">
      <c r="A347" s="130" t="s">
        <v>621</v>
      </c>
      <c r="B347" s="124" t="s">
        <v>1623</v>
      </c>
      <c r="C347" s="124" t="s">
        <v>852</v>
      </c>
      <c r="D347" s="148" t="s">
        <v>419</v>
      </c>
      <c r="E347" s="124" t="s">
        <v>1619</v>
      </c>
      <c r="F347" s="135">
        <v>3512.9</v>
      </c>
      <c r="G347" s="135">
        <f>3512.9-1012.9</f>
        <v>2500</v>
      </c>
      <c r="H347" s="135">
        <v>2464.3</v>
      </c>
      <c r="I347" s="121">
        <f t="shared" si="44"/>
        <v>70.15001850323095</v>
      </c>
      <c r="J347" s="121">
        <f t="shared" si="42"/>
        <v>98.572</v>
      </c>
    </row>
    <row r="348" spans="1:10" ht="24">
      <c r="A348" s="151" t="s">
        <v>1684</v>
      </c>
      <c r="B348" s="124" t="s">
        <v>1623</v>
      </c>
      <c r="C348" s="124" t="s">
        <v>852</v>
      </c>
      <c r="D348" s="148" t="s">
        <v>420</v>
      </c>
      <c r="E348" s="124"/>
      <c r="F348" s="132">
        <f aca="true" t="shared" si="45" ref="F348:H349">F349</f>
        <v>10000</v>
      </c>
      <c r="G348" s="132">
        <f t="shared" si="45"/>
        <v>9857.4</v>
      </c>
      <c r="H348" s="132">
        <f t="shared" si="45"/>
        <v>9857.4</v>
      </c>
      <c r="I348" s="121">
        <f t="shared" si="44"/>
        <v>98.574</v>
      </c>
      <c r="J348" s="121">
        <f t="shared" si="42"/>
        <v>100</v>
      </c>
    </row>
    <row r="349" spans="1:10" ht="24">
      <c r="A349" s="130" t="s">
        <v>1312</v>
      </c>
      <c r="B349" s="124" t="s">
        <v>1623</v>
      </c>
      <c r="C349" s="124" t="s">
        <v>852</v>
      </c>
      <c r="D349" s="148" t="s">
        <v>420</v>
      </c>
      <c r="E349" s="124" t="s">
        <v>1704</v>
      </c>
      <c r="F349" s="132">
        <f t="shared" si="45"/>
        <v>10000</v>
      </c>
      <c r="G349" s="132">
        <f t="shared" si="45"/>
        <v>9857.4</v>
      </c>
      <c r="H349" s="132">
        <f t="shared" si="45"/>
        <v>9857.4</v>
      </c>
      <c r="I349" s="121">
        <f t="shared" si="44"/>
        <v>98.574</v>
      </c>
      <c r="J349" s="121">
        <f t="shared" si="42"/>
        <v>100</v>
      </c>
    </row>
    <row r="350" spans="1:10" ht="24">
      <c r="A350" s="130" t="s">
        <v>1406</v>
      </c>
      <c r="B350" s="124" t="s">
        <v>1623</v>
      </c>
      <c r="C350" s="124" t="s">
        <v>852</v>
      </c>
      <c r="D350" s="148" t="s">
        <v>420</v>
      </c>
      <c r="E350" s="124" t="s">
        <v>1619</v>
      </c>
      <c r="F350" s="135">
        <v>10000</v>
      </c>
      <c r="G350" s="135">
        <f>10000-142.6</f>
        <v>9857.4</v>
      </c>
      <c r="H350" s="135">
        <f>10000-142.6</f>
        <v>9857.4</v>
      </c>
      <c r="I350" s="121">
        <f t="shared" si="44"/>
        <v>98.574</v>
      </c>
      <c r="J350" s="121">
        <f t="shared" si="42"/>
        <v>100</v>
      </c>
    </row>
    <row r="351" spans="1:10" ht="15.75">
      <c r="A351" s="139" t="s">
        <v>1236</v>
      </c>
      <c r="B351" s="124" t="s">
        <v>1623</v>
      </c>
      <c r="C351" s="124" t="s">
        <v>1627</v>
      </c>
      <c r="D351" s="148"/>
      <c r="E351" s="124"/>
      <c r="F351" s="132">
        <f>F352+F403+F410+F418+F423+F414</f>
        <v>243834.1</v>
      </c>
      <c r="G351" s="132">
        <f>G352+G403+G410+G418+G423+G414</f>
        <v>260345.3</v>
      </c>
      <c r="H351" s="132">
        <f>H352+H403+H410+H418+H423+H414</f>
        <v>243919.39</v>
      </c>
      <c r="I351" s="121">
        <f t="shared" si="44"/>
        <v>100.03497870068215</v>
      </c>
      <c r="J351" s="121">
        <f t="shared" si="42"/>
        <v>93.69072151484971</v>
      </c>
    </row>
    <row r="352" spans="1:10" ht="36">
      <c r="A352" s="149" t="s">
        <v>492</v>
      </c>
      <c r="B352" s="124" t="s">
        <v>1623</v>
      </c>
      <c r="C352" s="124" t="s">
        <v>1627</v>
      </c>
      <c r="D352" s="124" t="s">
        <v>1727</v>
      </c>
      <c r="E352" s="124"/>
      <c r="F352" s="132">
        <f>F353+F357+F361</f>
        <v>140214.1</v>
      </c>
      <c r="G352" s="132">
        <f>G353+G357+G361</f>
        <v>132950.19999999995</v>
      </c>
      <c r="H352" s="132">
        <f>H353+H357+H361</f>
        <v>124891</v>
      </c>
      <c r="I352" s="121">
        <f t="shared" si="44"/>
        <v>89.07164115449159</v>
      </c>
      <c r="J352" s="121">
        <f t="shared" si="42"/>
        <v>93.93818136414993</v>
      </c>
    </row>
    <row r="353" spans="1:10" ht="84">
      <c r="A353" s="129" t="s">
        <v>1669</v>
      </c>
      <c r="B353" s="124" t="s">
        <v>1623</v>
      </c>
      <c r="C353" s="124" t="s">
        <v>1627</v>
      </c>
      <c r="D353" s="124" t="s">
        <v>805</v>
      </c>
      <c r="E353" s="124"/>
      <c r="F353" s="132">
        <f aca="true" t="shared" si="46" ref="F353:H355">F354</f>
        <v>62294.1</v>
      </c>
      <c r="G353" s="132">
        <f t="shared" si="46"/>
        <v>33233.6</v>
      </c>
      <c r="H353" s="132">
        <f t="shared" si="46"/>
        <v>32480.6</v>
      </c>
      <c r="I353" s="121">
        <f t="shared" si="44"/>
        <v>52.140732428913815</v>
      </c>
      <c r="J353" s="121">
        <f t="shared" si="42"/>
        <v>97.73422078859949</v>
      </c>
    </row>
    <row r="354" spans="1:10" ht="36">
      <c r="A354" s="14" t="s">
        <v>421</v>
      </c>
      <c r="B354" s="124" t="s">
        <v>1623</v>
      </c>
      <c r="C354" s="124" t="s">
        <v>1627</v>
      </c>
      <c r="D354" s="124" t="s">
        <v>422</v>
      </c>
      <c r="E354" s="124"/>
      <c r="F354" s="132">
        <f t="shared" si="46"/>
        <v>62294.1</v>
      </c>
      <c r="G354" s="132">
        <f t="shared" si="46"/>
        <v>33233.6</v>
      </c>
      <c r="H354" s="132">
        <f t="shared" si="46"/>
        <v>32480.6</v>
      </c>
      <c r="I354" s="121">
        <f t="shared" si="44"/>
        <v>52.140732428913815</v>
      </c>
      <c r="J354" s="121">
        <f t="shared" si="42"/>
        <v>97.73422078859949</v>
      </c>
    </row>
    <row r="355" spans="1:10" ht="24">
      <c r="A355" s="130" t="s">
        <v>1312</v>
      </c>
      <c r="B355" s="124" t="s">
        <v>1623</v>
      </c>
      <c r="C355" s="124" t="s">
        <v>1627</v>
      </c>
      <c r="D355" s="124" t="s">
        <v>422</v>
      </c>
      <c r="E355" s="124" t="s">
        <v>1704</v>
      </c>
      <c r="F355" s="132">
        <f t="shared" si="46"/>
        <v>62294.1</v>
      </c>
      <c r="G355" s="132">
        <f t="shared" si="46"/>
        <v>33233.6</v>
      </c>
      <c r="H355" s="132">
        <f t="shared" si="46"/>
        <v>32480.6</v>
      </c>
      <c r="I355" s="121">
        <f t="shared" si="44"/>
        <v>52.140732428913815</v>
      </c>
      <c r="J355" s="121">
        <f t="shared" si="42"/>
        <v>97.73422078859949</v>
      </c>
    </row>
    <row r="356" spans="1:10" ht="24">
      <c r="A356" s="130" t="s">
        <v>621</v>
      </c>
      <c r="B356" s="124" t="s">
        <v>1623</v>
      </c>
      <c r="C356" s="124" t="s">
        <v>1627</v>
      </c>
      <c r="D356" s="124" t="s">
        <v>422</v>
      </c>
      <c r="E356" s="124" t="s">
        <v>1619</v>
      </c>
      <c r="F356" s="135">
        <v>62294.1</v>
      </c>
      <c r="G356" s="135">
        <f>22000+40294.1-32615.9-50.7-270.2+2367-529+2038.3</f>
        <v>33233.6</v>
      </c>
      <c r="H356" s="135">
        <v>32480.6</v>
      </c>
      <c r="I356" s="121">
        <f t="shared" si="44"/>
        <v>52.140732428913815</v>
      </c>
      <c r="J356" s="121">
        <f t="shared" si="42"/>
        <v>97.73422078859949</v>
      </c>
    </row>
    <row r="357" spans="1:10" ht="36" hidden="1">
      <c r="A357" s="130" t="s">
        <v>493</v>
      </c>
      <c r="B357" s="124" t="s">
        <v>1623</v>
      </c>
      <c r="C357" s="124" t="s">
        <v>1627</v>
      </c>
      <c r="D357" s="124" t="s">
        <v>1508</v>
      </c>
      <c r="E357" s="124"/>
      <c r="F357" s="132">
        <f aca="true" t="shared" si="47" ref="F357:H359">F358</f>
        <v>0</v>
      </c>
      <c r="G357" s="132">
        <f t="shared" si="47"/>
        <v>0</v>
      </c>
      <c r="H357" s="132">
        <f t="shared" si="47"/>
        <v>0</v>
      </c>
      <c r="I357" s="121" t="e">
        <f t="shared" si="44"/>
        <v>#DIV/0!</v>
      </c>
      <c r="J357" s="121" t="e">
        <f t="shared" si="42"/>
        <v>#DIV/0!</v>
      </c>
    </row>
    <row r="358" spans="1:10" ht="15" hidden="1">
      <c r="A358" s="134" t="s">
        <v>1237</v>
      </c>
      <c r="B358" s="124" t="s">
        <v>1623</v>
      </c>
      <c r="C358" s="124" t="s">
        <v>1627</v>
      </c>
      <c r="D358" s="124" t="s">
        <v>423</v>
      </c>
      <c r="E358" s="124"/>
      <c r="F358" s="132">
        <f t="shared" si="47"/>
        <v>0</v>
      </c>
      <c r="G358" s="132">
        <f t="shared" si="47"/>
        <v>0</v>
      </c>
      <c r="H358" s="132">
        <f t="shared" si="47"/>
        <v>0</v>
      </c>
      <c r="I358" s="121" t="e">
        <f t="shared" si="44"/>
        <v>#DIV/0!</v>
      </c>
      <c r="J358" s="121" t="e">
        <f t="shared" si="42"/>
        <v>#DIV/0!</v>
      </c>
    </row>
    <row r="359" spans="1:10" ht="24" hidden="1">
      <c r="A359" s="130" t="s">
        <v>1312</v>
      </c>
      <c r="B359" s="124" t="s">
        <v>1623</v>
      </c>
      <c r="C359" s="124" t="s">
        <v>1627</v>
      </c>
      <c r="D359" s="124" t="s">
        <v>423</v>
      </c>
      <c r="E359" s="124" t="s">
        <v>1704</v>
      </c>
      <c r="F359" s="132">
        <f t="shared" si="47"/>
        <v>0</v>
      </c>
      <c r="G359" s="132">
        <f t="shared" si="47"/>
        <v>0</v>
      </c>
      <c r="H359" s="132">
        <f t="shared" si="47"/>
        <v>0</v>
      </c>
      <c r="I359" s="121" t="e">
        <f t="shared" si="44"/>
        <v>#DIV/0!</v>
      </c>
      <c r="J359" s="121" t="e">
        <f t="shared" si="42"/>
        <v>#DIV/0!</v>
      </c>
    </row>
    <row r="360" spans="1:10" ht="24" hidden="1">
      <c r="A360" s="130" t="s">
        <v>1406</v>
      </c>
      <c r="B360" s="124" t="s">
        <v>1623</v>
      </c>
      <c r="C360" s="124" t="s">
        <v>1627</v>
      </c>
      <c r="D360" s="124" t="s">
        <v>423</v>
      </c>
      <c r="E360" s="124" t="s">
        <v>1619</v>
      </c>
      <c r="F360" s="135">
        <f>87000-66000-21000</f>
        <v>0</v>
      </c>
      <c r="G360" s="135">
        <f>87000-66000-21000</f>
        <v>0</v>
      </c>
      <c r="H360" s="135">
        <f>87000-66000-21000</f>
        <v>0</v>
      </c>
      <c r="I360" s="121" t="e">
        <f t="shared" si="44"/>
        <v>#DIV/0!</v>
      </c>
      <c r="J360" s="121" t="e">
        <f t="shared" si="42"/>
        <v>#DIV/0!</v>
      </c>
    </row>
    <row r="361" spans="1:10" ht="36">
      <c r="A361" s="130" t="s">
        <v>493</v>
      </c>
      <c r="B361" s="124" t="s">
        <v>1623</v>
      </c>
      <c r="C361" s="124" t="s">
        <v>1627</v>
      </c>
      <c r="D361" s="124" t="s">
        <v>1508</v>
      </c>
      <c r="E361" s="124"/>
      <c r="F361" s="132">
        <f>F362+F365+F394+F397+F400</f>
        <v>77920</v>
      </c>
      <c r="G361" s="132">
        <f>G362+G365+G394+G397+G400</f>
        <v>99716.59999999996</v>
      </c>
      <c r="H361" s="132">
        <f>H362+H365+H394+H397+H400</f>
        <v>92410.4</v>
      </c>
      <c r="I361" s="121">
        <f t="shared" si="44"/>
        <v>118.5965092402464</v>
      </c>
      <c r="J361" s="121">
        <f t="shared" si="42"/>
        <v>92.6730353822734</v>
      </c>
    </row>
    <row r="362" spans="1:10" ht="48">
      <c r="A362" s="129" t="s">
        <v>1720</v>
      </c>
      <c r="B362" s="124" t="s">
        <v>1623</v>
      </c>
      <c r="C362" s="124" t="s">
        <v>1627</v>
      </c>
      <c r="D362" s="124" t="s">
        <v>424</v>
      </c>
      <c r="E362" s="124"/>
      <c r="F362" s="132">
        <f aca="true" t="shared" si="48" ref="F362:H363">F363</f>
        <v>13240</v>
      </c>
      <c r="G362" s="132">
        <f t="shared" si="48"/>
        <v>8228.1</v>
      </c>
      <c r="H362" s="132">
        <f t="shared" si="48"/>
        <v>7973.9</v>
      </c>
      <c r="I362" s="121">
        <f t="shared" si="44"/>
        <v>60.22583081570997</v>
      </c>
      <c r="J362" s="121">
        <f t="shared" si="42"/>
        <v>96.91058689126287</v>
      </c>
    </row>
    <row r="363" spans="1:10" ht="36">
      <c r="A363" s="129" t="s">
        <v>752</v>
      </c>
      <c r="B363" s="124" t="s">
        <v>1623</v>
      </c>
      <c r="C363" s="124" t="s">
        <v>1627</v>
      </c>
      <c r="D363" s="124" t="s">
        <v>424</v>
      </c>
      <c r="E363" s="124" t="s">
        <v>751</v>
      </c>
      <c r="F363" s="132">
        <f t="shared" si="48"/>
        <v>13240</v>
      </c>
      <c r="G363" s="132">
        <f t="shared" si="48"/>
        <v>8228.1</v>
      </c>
      <c r="H363" s="132">
        <f t="shared" si="48"/>
        <v>7973.9</v>
      </c>
      <c r="I363" s="121">
        <f t="shared" si="44"/>
        <v>60.22583081570997</v>
      </c>
      <c r="J363" s="121">
        <f t="shared" si="42"/>
        <v>96.91058689126287</v>
      </c>
    </row>
    <row r="364" spans="1:10" ht="15.75">
      <c r="A364" s="134" t="s">
        <v>1435</v>
      </c>
      <c r="B364" s="124" t="s">
        <v>1623</v>
      </c>
      <c r="C364" s="124" t="s">
        <v>1627</v>
      </c>
      <c r="D364" s="124" t="s">
        <v>424</v>
      </c>
      <c r="E364" s="124" t="s">
        <v>1436</v>
      </c>
      <c r="F364" s="135">
        <f>13240</f>
        <v>13240</v>
      </c>
      <c r="G364" s="135">
        <f>13240-2371.9-2640</f>
        <v>8228.1</v>
      </c>
      <c r="H364" s="135">
        <v>7973.9</v>
      </c>
      <c r="I364" s="121">
        <f t="shared" si="44"/>
        <v>60.22583081570997</v>
      </c>
      <c r="J364" s="121">
        <f t="shared" si="42"/>
        <v>96.91058689126287</v>
      </c>
    </row>
    <row r="365" spans="1:10" ht="24">
      <c r="A365" s="134" t="s">
        <v>134</v>
      </c>
      <c r="B365" s="124" t="s">
        <v>1623</v>
      </c>
      <c r="C365" s="124" t="s">
        <v>1627</v>
      </c>
      <c r="D365" s="124" t="s">
        <v>39</v>
      </c>
      <c r="E365" s="124"/>
      <c r="F365" s="132">
        <f>F366+F368</f>
        <v>64680</v>
      </c>
      <c r="G365" s="132">
        <f>G366+G368</f>
        <v>88255.39999999997</v>
      </c>
      <c r="H365" s="132">
        <f>H366+H368</f>
        <v>83592.3</v>
      </c>
      <c r="I365" s="121">
        <f t="shared" si="44"/>
        <v>129.23979591836735</v>
      </c>
      <c r="J365" s="121">
        <f t="shared" si="42"/>
        <v>94.71635729938342</v>
      </c>
    </row>
    <row r="366" spans="1:10" ht="24">
      <c r="A366" s="130" t="s">
        <v>1312</v>
      </c>
      <c r="B366" s="124" t="s">
        <v>1623</v>
      </c>
      <c r="C366" s="124" t="s">
        <v>1627</v>
      </c>
      <c r="D366" s="124" t="s">
        <v>39</v>
      </c>
      <c r="E366" s="124" t="s">
        <v>1704</v>
      </c>
      <c r="F366" s="132">
        <f>F367</f>
        <v>0</v>
      </c>
      <c r="G366" s="132">
        <f>G367</f>
        <v>14161.099999999999</v>
      </c>
      <c r="H366" s="132">
        <f>H367</f>
        <v>13456.5</v>
      </c>
      <c r="I366" s="121">
        <v>0</v>
      </c>
      <c r="J366" s="121">
        <f t="shared" si="42"/>
        <v>95.02439782220308</v>
      </c>
    </row>
    <row r="367" spans="1:10" ht="24">
      <c r="A367" s="130" t="s">
        <v>621</v>
      </c>
      <c r="B367" s="124" t="s">
        <v>1623</v>
      </c>
      <c r="C367" s="124" t="s">
        <v>1627</v>
      </c>
      <c r="D367" s="124" t="s">
        <v>39</v>
      </c>
      <c r="E367" s="124" t="s">
        <v>1619</v>
      </c>
      <c r="F367" s="135">
        <v>0</v>
      </c>
      <c r="G367" s="135">
        <f>3327.3+6757.5+1275.9+2800.4</f>
        <v>14161.099999999999</v>
      </c>
      <c r="H367" s="135">
        <v>13456.5</v>
      </c>
      <c r="I367" s="121">
        <v>0</v>
      </c>
      <c r="J367" s="121">
        <f t="shared" si="42"/>
        <v>95.02439782220308</v>
      </c>
    </row>
    <row r="368" spans="1:10" ht="36">
      <c r="A368" s="129" t="s">
        <v>752</v>
      </c>
      <c r="B368" s="124" t="s">
        <v>1623</v>
      </c>
      <c r="C368" s="124" t="s">
        <v>1627</v>
      </c>
      <c r="D368" s="124" t="s">
        <v>39</v>
      </c>
      <c r="E368" s="124" t="s">
        <v>751</v>
      </c>
      <c r="F368" s="132">
        <f>F369</f>
        <v>64680</v>
      </c>
      <c r="G368" s="132">
        <f>G369</f>
        <v>74094.29999999997</v>
      </c>
      <c r="H368" s="132">
        <f>H369</f>
        <v>70135.8</v>
      </c>
      <c r="I368" s="121">
        <f>H368/F368*100</f>
        <v>108.43506493506494</v>
      </c>
      <c r="J368" s="121">
        <f t="shared" si="42"/>
        <v>94.65748377405554</v>
      </c>
    </row>
    <row r="369" spans="1:10" ht="27" customHeight="1">
      <c r="A369" s="134" t="s">
        <v>753</v>
      </c>
      <c r="B369" s="124" t="s">
        <v>1623</v>
      </c>
      <c r="C369" s="124" t="s">
        <v>1627</v>
      </c>
      <c r="D369" s="124" t="s">
        <v>39</v>
      </c>
      <c r="E369" s="124" t="s">
        <v>1436</v>
      </c>
      <c r="F369" s="135">
        <f>64680</f>
        <v>64680</v>
      </c>
      <c r="G369" s="135">
        <f>64680-5800-8443-1420+2000-4280+191+132+4280+5800+2998.5+847+1252.7+630.3+264.1-7000+389.7+3267.7+700+200+288+1364.3+2848+2171.3+1945.9-2130.7-574.1+G387+G388+G389+G390-700+400+300+G391-142.4-447.9-1069-1397.9-1064.3+G392+2561.5+2400+3400+1760.2-300</f>
        <v>74094.29999999997</v>
      </c>
      <c r="H369" s="135">
        <v>70135.8</v>
      </c>
      <c r="I369" s="121">
        <f>H369/F369*100</f>
        <v>108.43506493506494</v>
      </c>
      <c r="J369" s="121">
        <f t="shared" si="42"/>
        <v>94.65748377405554</v>
      </c>
    </row>
    <row r="370" spans="1:10" ht="36">
      <c r="A370" s="134" t="s">
        <v>1646</v>
      </c>
      <c r="B370" s="124" t="s">
        <v>1623</v>
      </c>
      <c r="C370" s="124" t="s">
        <v>1627</v>
      </c>
      <c r="D370" s="124" t="s">
        <v>39</v>
      </c>
      <c r="E370" s="124" t="s">
        <v>1436</v>
      </c>
      <c r="F370" s="138">
        <v>0</v>
      </c>
      <c r="G370" s="138">
        <v>400</v>
      </c>
      <c r="H370" s="138">
        <v>393.1</v>
      </c>
      <c r="I370" s="121">
        <v>0</v>
      </c>
      <c r="J370" s="121">
        <f t="shared" si="42"/>
        <v>98.275</v>
      </c>
    </row>
    <row r="371" spans="1:10" ht="24" hidden="1">
      <c r="A371" s="152" t="s">
        <v>1713</v>
      </c>
      <c r="B371" s="124" t="s">
        <v>1623</v>
      </c>
      <c r="C371" s="124" t="s">
        <v>1627</v>
      </c>
      <c r="D371" s="124" t="s">
        <v>39</v>
      </c>
      <c r="E371" s="124" t="s">
        <v>1436</v>
      </c>
      <c r="F371" s="138">
        <v>0</v>
      </c>
      <c r="G371" s="138">
        <v>0</v>
      </c>
      <c r="H371" s="138">
        <v>0</v>
      </c>
      <c r="I371" s="121">
        <v>0</v>
      </c>
      <c r="J371" s="121" t="e">
        <f t="shared" si="42"/>
        <v>#DIV/0!</v>
      </c>
    </row>
    <row r="372" spans="1:10" ht="48">
      <c r="A372" s="152" t="s">
        <v>1647</v>
      </c>
      <c r="B372" s="124" t="s">
        <v>1623</v>
      </c>
      <c r="C372" s="124" t="s">
        <v>1627</v>
      </c>
      <c r="D372" s="124" t="s">
        <v>39</v>
      </c>
      <c r="E372" s="124" t="s">
        <v>1436</v>
      </c>
      <c r="F372" s="138">
        <v>0</v>
      </c>
      <c r="G372" s="138">
        <f>1500-574.1</f>
        <v>925.9</v>
      </c>
      <c r="H372" s="138">
        <f>1500-574.1</f>
        <v>925.9</v>
      </c>
      <c r="I372" s="121">
        <v>0</v>
      </c>
      <c r="J372" s="121">
        <f t="shared" si="42"/>
        <v>100</v>
      </c>
    </row>
    <row r="373" spans="1:10" ht="33.75" customHeight="1">
      <c r="A373" s="152" t="s">
        <v>1648</v>
      </c>
      <c r="B373" s="124" t="s">
        <v>1623</v>
      </c>
      <c r="C373" s="124" t="s">
        <v>1627</v>
      </c>
      <c r="D373" s="124" t="s">
        <v>39</v>
      </c>
      <c r="E373" s="124" t="s">
        <v>1436</v>
      </c>
      <c r="F373" s="138">
        <v>0</v>
      </c>
      <c r="G373" s="138">
        <f>4900-400-2130.7</f>
        <v>2369.3</v>
      </c>
      <c r="H373" s="138">
        <v>2339.6</v>
      </c>
      <c r="I373" s="121">
        <v>0</v>
      </c>
      <c r="J373" s="121">
        <f t="shared" si="42"/>
        <v>98.74646520069219</v>
      </c>
    </row>
    <row r="374" spans="1:10" ht="24">
      <c r="A374" s="134" t="s">
        <v>793</v>
      </c>
      <c r="B374" s="124" t="s">
        <v>1623</v>
      </c>
      <c r="C374" s="124" t="s">
        <v>1627</v>
      </c>
      <c r="D374" s="124" t="s">
        <v>39</v>
      </c>
      <c r="E374" s="124" t="s">
        <v>1436</v>
      </c>
      <c r="F374" s="135">
        <v>0</v>
      </c>
      <c r="G374" s="135">
        <v>4280</v>
      </c>
      <c r="H374" s="135">
        <v>4271.9</v>
      </c>
      <c r="I374" s="121">
        <v>0</v>
      </c>
      <c r="J374" s="121">
        <f t="shared" si="42"/>
        <v>99.8107476635514</v>
      </c>
    </row>
    <row r="375" spans="1:10" ht="24">
      <c r="A375" s="152" t="s">
        <v>1649</v>
      </c>
      <c r="B375" s="124" t="s">
        <v>1623</v>
      </c>
      <c r="C375" s="124" t="s">
        <v>1627</v>
      </c>
      <c r="D375" s="124" t="s">
        <v>39</v>
      </c>
      <c r="E375" s="124" t="s">
        <v>1436</v>
      </c>
      <c r="F375" s="135">
        <v>0</v>
      </c>
      <c r="G375" s="135">
        <f>5800-1397.9-2907.9</f>
        <v>1494.2000000000003</v>
      </c>
      <c r="H375" s="135">
        <v>1462.3</v>
      </c>
      <c r="I375" s="121">
        <v>0</v>
      </c>
      <c r="J375" s="121">
        <f t="shared" si="42"/>
        <v>97.8650783027707</v>
      </c>
    </row>
    <row r="376" spans="1:10" ht="36">
      <c r="A376" s="152" t="s">
        <v>1650</v>
      </c>
      <c r="B376" s="124" t="s">
        <v>1623</v>
      </c>
      <c r="C376" s="124" t="s">
        <v>1627</v>
      </c>
      <c r="D376" s="124" t="s">
        <v>39</v>
      </c>
      <c r="E376" s="124" t="s">
        <v>1436</v>
      </c>
      <c r="F376" s="135">
        <v>0</v>
      </c>
      <c r="G376" s="135">
        <f>2998.5+400-447.9</f>
        <v>2950.6</v>
      </c>
      <c r="H376" s="135">
        <v>2942.6</v>
      </c>
      <c r="I376" s="121">
        <v>0</v>
      </c>
      <c r="J376" s="121">
        <f t="shared" si="42"/>
        <v>99.72886870467023</v>
      </c>
    </row>
    <row r="377" spans="1:10" ht="48">
      <c r="A377" s="152" t="s">
        <v>1651</v>
      </c>
      <c r="B377" s="124" t="s">
        <v>1623</v>
      </c>
      <c r="C377" s="124" t="s">
        <v>1627</v>
      </c>
      <c r="D377" s="124" t="s">
        <v>39</v>
      </c>
      <c r="E377" s="124" t="s">
        <v>1436</v>
      </c>
      <c r="F377" s="135">
        <v>0</v>
      </c>
      <c r="G377" s="135">
        <v>847</v>
      </c>
      <c r="H377" s="135">
        <v>428.42</v>
      </c>
      <c r="I377" s="121">
        <v>0</v>
      </c>
      <c r="J377" s="121">
        <f t="shared" si="42"/>
        <v>50.58087367178277</v>
      </c>
    </row>
    <row r="378" spans="1:10" ht="24">
      <c r="A378" s="152" t="s">
        <v>794</v>
      </c>
      <c r="B378" s="124" t="s">
        <v>1623</v>
      </c>
      <c r="C378" s="124" t="s">
        <v>1627</v>
      </c>
      <c r="D378" s="124" t="s">
        <v>39</v>
      </c>
      <c r="E378" s="124" t="s">
        <v>1436</v>
      </c>
      <c r="F378" s="135">
        <v>0</v>
      </c>
      <c r="G378" s="135">
        <f>1252.7-142.4</f>
        <v>1110.3</v>
      </c>
      <c r="H378" s="135">
        <v>1105.8</v>
      </c>
      <c r="I378" s="121">
        <v>0</v>
      </c>
      <c r="J378" s="121">
        <f t="shared" si="42"/>
        <v>99.59470413401783</v>
      </c>
    </row>
    <row r="379" spans="1:10" ht="36">
      <c r="A379" s="152" t="s">
        <v>893</v>
      </c>
      <c r="B379" s="124" t="s">
        <v>1623</v>
      </c>
      <c r="C379" s="124" t="s">
        <v>1627</v>
      </c>
      <c r="D379" s="124" t="s">
        <v>39</v>
      </c>
      <c r="E379" s="124" t="s">
        <v>1436</v>
      </c>
      <c r="F379" s="135">
        <f>700-700</f>
        <v>0</v>
      </c>
      <c r="G379" s="135">
        <f>700-700</f>
        <v>0</v>
      </c>
      <c r="H379" s="135">
        <f>700-700</f>
        <v>0</v>
      </c>
      <c r="I379" s="121">
        <v>0</v>
      </c>
      <c r="J379" s="121">
        <v>0</v>
      </c>
    </row>
    <row r="380" spans="1:10" ht="36">
      <c r="A380" s="152" t="s">
        <v>894</v>
      </c>
      <c r="B380" s="124" t="s">
        <v>1623</v>
      </c>
      <c r="C380" s="124" t="s">
        <v>1627</v>
      </c>
      <c r="D380" s="124" t="s">
        <v>39</v>
      </c>
      <c r="E380" s="124" t="s">
        <v>1436</v>
      </c>
      <c r="F380" s="135">
        <v>0</v>
      </c>
      <c r="G380" s="135">
        <f>200+300</f>
        <v>500</v>
      </c>
      <c r="H380" s="135">
        <f>200+300</f>
        <v>500</v>
      </c>
      <c r="I380" s="121">
        <v>0</v>
      </c>
      <c r="J380" s="121">
        <f t="shared" si="42"/>
        <v>100</v>
      </c>
    </row>
    <row r="381" spans="1:10" ht="52.5" customHeight="1">
      <c r="A381" s="152" t="s">
        <v>895</v>
      </c>
      <c r="B381" s="124" t="s">
        <v>1623</v>
      </c>
      <c r="C381" s="124" t="s">
        <v>1627</v>
      </c>
      <c r="D381" s="124" t="s">
        <v>39</v>
      </c>
      <c r="E381" s="124" t="s">
        <v>1436</v>
      </c>
      <c r="F381" s="135">
        <v>0</v>
      </c>
      <c r="G381" s="135">
        <v>288</v>
      </c>
      <c r="H381" s="135">
        <v>230</v>
      </c>
      <c r="I381" s="121">
        <v>0</v>
      </c>
      <c r="J381" s="121">
        <f t="shared" si="42"/>
        <v>79.86111111111111</v>
      </c>
    </row>
    <row r="382" spans="1:10" ht="39" customHeight="1">
      <c r="A382" s="152" t="s">
        <v>1323</v>
      </c>
      <c r="B382" s="124" t="s">
        <v>1623</v>
      </c>
      <c r="C382" s="124" t="s">
        <v>1627</v>
      </c>
      <c r="D382" s="124" t="s">
        <v>39</v>
      </c>
      <c r="E382" s="124" t="s">
        <v>1436</v>
      </c>
      <c r="F382" s="135">
        <v>0</v>
      </c>
      <c r="G382" s="135">
        <v>400</v>
      </c>
      <c r="H382" s="135">
        <v>257.1</v>
      </c>
      <c r="I382" s="121">
        <v>0</v>
      </c>
      <c r="J382" s="121">
        <f t="shared" si="42"/>
        <v>64.275</v>
      </c>
    </row>
    <row r="383" spans="1:10" ht="39" customHeight="1">
      <c r="A383" s="152" t="s">
        <v>1025</v>
      </c>
      <c r="B383" s="124" t="s">
        <v>1623</v>
      </c>
      <c r="C383" s="124" t="s">
        <v>1627</v>
      </c>
      <c r="D383" s="124" t="s">
        <v>39</v>
      </c>
      <c r="E383" s="124" t="s">
        <v>1436</v>
      </c>
      <c r="F383" s="135">
        <v>0</v>
      </c>
      <c r="G383" s="135">
        <v>100</v>
      </c>
      <c r="H383" s="135">
        <v>100</v>
      </c>
      <c r="I383" s="121">
        <v>0</v>
      </c>
      <c r="J383" s="121">
        <f t="shared" si="42"/>
        <v>100</v>
      </c>
    </row>
    <row r="384" spans="1:10" ht="39" customHeight="1">
      <c r="A384" s="152" t="s">
        <v>1026</v>
      </c>
      <c r="B384" s="124" t="s">
        <v>1623</v>
      </c>
      <c r="C384" s="124" t="s">
        <v>1627</v>
      </c>
      <c r="D384" s="124" t="s">
        <v>39</v>
      </c>
      <c r="E384" s="124" t="s">
        <v>1436</v>
      </c>
      <c r="F384" s="135">
        <v>0</v>
      </c>
      <c r="G384" s="135">
        <v>33</v>
      </c>
      <c r="H384" s="135">
        <v>32.9</v>
      </c>
      <c r="I384" s="121">
        <v>0</v>
      </c>
      <c r="J384" s="121">
        <f t="shared" si="42"/>
        <v>99.69696969696969</v>
      </c>
    </row>
    <row r="385" spans="1:10" ht="39" customHeight="1">
      <c r="A385" s="152" t="s">
        <v>1027</v>
      </c>
      <c r="B385" s="124" t="s">
        <v>1623</v>
      </c>
      <c r="C385" s="124" t="s">
        <v>1627</v>
      </c>
      <c r="D385" s="124" t="s">
        <v>39</v>
      </c>
      <c r="E385" s="124" t="s">
        <v>1436</v>
      </c>
      <c r="F385" s="135">
        <v>0</v>
      </c>
      <c r="G385" s="135">
        <f>1364.3-1064.3</f>
        <v>300</v>
      </c>
      <c r="H385" s="135">
        <v>0</v>
      </c>
      <c r="I385" s="121">
        <v>0</v>
      </c>
      <c r="J385" s="121">
        <f t="shared" si="42"/>
        <v>0</v>
      </c>
    </row>
    <row r="386" spans="1:10" ht="39" customHeight="1">
      <c r="A386" s="152" t="s">
        <v>1028</v>
      </c>
      <c r="B386" s="124" t="s">
        <v>1623</v>
      </c>
      <c r="C386" s="124" t="s">
        <v>1627</v>
      </c>
      <c r="D386" s="124" t="s">
        <v>39</v>
      </c>
      <c r="E386" s="124" t="s">
        <v>1436</v>
      </c>
      <c r="F386" s="135">
        <v>0</v>
      </c>
      <c r="G386" s="135">
        <f>2848-1069</f>
        <v>1779</v>
      </c>
      <c r="H386" s="135">
        <v>692.4</v>
      </c>
      <c r="I386" s="121">
        <v>0</v>
      </c>
      <c r="J386" s="121">
        <f t="shared" si="42"/>
        <v>38.92074198988196</v>
      </c>
    </row>
    <row r="387" spans="1:10" ht="39" customHeight="1">
      <c r="A387" s="152" t="s">
        <v>1652</v>
      </c>
      <c r="B387" s="124" t="s">
        <v>1623</v>
      </c>
      <c r="C387" s="124" t="s">
        <v>1627</v>
      </c>
      <c r="D387" s="124" t="s">
        <v>39</v>
      </c>
      <c r="E387" s="124" t="s">
        <v>1436</v>
      </c>
      <c r="F387" s="135">
        <v>0</v>
      </c>
      <c r="G387" s="135">
        <v>1288.7</v>
      </c>
      <c r="H387" s="135">
        <v>685.7</v>
      </c>
      <c r="I387" s="121">
        <v>0</v>
      </c>
      <c r="J387" s="121">
        <f t="shared" si="42"/>
        <v>53.208659889811436</v>
      </c>
    </row>
    <row r="388" spans="1:10" ht="48">
      <c r="A388" s="152" t="s">
        <v>1653</v>
      </c>
      <c r="B388" s="124" t="s">
        <v>1623</v>
      </c>
      <c r="C388" s="124" t="s">
        <v>1627</v>
      </c>
      <c r="D388" s="124" t="s">
        <v>39</v>
      </c>
      <c r="E388" s="124" t="s">
        <v>1436</v>
      </c>
      <c r="F388" s="135">
        <v>0</v>
      </c>
      <c r="G388" s="135">
        <v>46.3</v>
      </c>
      <c r="H388" s="135">
        <v>46.3</v>
      </c>
      <c r="I388" s="121">
        <v>0</v>
      </c>
      <c r="J388" s="121">
        <f t="shared" si="42"/>
        <v>100</v>
      </c>
    </row>
    <row r="389" spans="1:10" ht="39" customHeight="1">
      <c r="A389" s="152" t="s">
        <v>1654</v>
      </c>
      <c r="B389" s="124" t="s">
        <v>1623</v>
      </c>
      <c r="C389" s="124" t="s">
        <v>1627</v>
      </c>
      <c r="D389" s="124" t="s">
        <v>39</v>
      </c>
      <c r="E389" s="124" t="s">
        <v>1436</v>
      </c>
      <c r="F389" s="135">
        <v>0</v>
      </c>
      <c r="G389" s="135">
        <v>196.4</v>
      </c>
      <c r="H389" s="135">
        <v>77.7</v>
      </c>
      <c r="I389" s="121">
        <v>0</v>
      </c>
      <c r="J389" s="121">
        <f t="shared" si="42"/>
        <v>39.562118126272914</v>
      </c>
    </row>
    <row r="390" spans="1:10" ht="48">
      <c r="A390" s="152" t="s">
        <v>833</v>
      </c>
      <c r="B390" s="124" t="s">
        <v>1623</v>
      </c>
      <c r="C390" s="124" t="s">
        <v>1627</v>
      </c>
      <c r="D390" s="124" t="s">
        <v>39</v>
      </c>
      <c r="E390" s="124" t="s">
        <v>1436</v>
      </c>
      <c r="F390" s="135">
        <v>0</v>
      </c>
      <c r="G390" s="135">
        <f>200</f>
        <v>200</v>
      </c>
      <c r="H390" s="135">
        <v>181.9</v>
      </c>
      <c r="I390" s="121">
        <v>0</v>
      </c>
      <c r="J390" s="121">
        <f t="shared" si="42"/>
        <v>90.95</v>
      </c>
    </row>
    <row r="391" spans="1:10" ht="24">
      <c r="A391" s="152" t="s">
        <v>834</v>
      </c>
      <c r="B391" s="124" t="s">
        <v>1623</v>
      </c>
      <c r="C391" s="124" t="s">
        <v>1627</v>
      </c>
      <c r="D391" s="124" t="s">
        <v>39</v>
      </c>
      <c r="E391" s="124" t="s">
        <v>1436</v>
      </c>
      <c r="F391" s="135"/>
      <c r="G391" s="135"/>
      <c r="H391" s="135"/>
      <c r="I391" s="121">
        <v>0</v>
      </c>
      <c r="J391" s="121">
        <v>0</v>
      </c>
    </row>
    <row r="392" spans="1:10" ht="36">
      <c r="A392" s="152" t="s">
        <v>835</v>
      </c>
      <c r="B392" s="124" t="s">
        <v>1623</v>
      </c>
      <c r="C392" s="124" t="s">
        <v>1627</v>
      </c>
      <c r="D392" s="124" t="s">
        <v>39</v>
      </c>
      <c r="E392" s="124" t="s">
        <v>1436</v>
      </c>
      <c r="F392" s="135">
        <v>0</v>
      </c>
      <c r="G392" s="135">
        <v>60</v>
      </c>
      <c r="H392" s="135">
        <v>59.3</v>
      </c>
      <c r="I392" s="121">
        <v>0</v>
      </c>
      <c r="J392" s="121">
        <f t="shared" si="42"/>
        <v>98.83333333333333</v>
      </c>
    </row>
    <row r="393" spans="1:10" ht="36">
      <c r="A393" s="152" t="s">
        <v>664</v>
      </c>
      <c r="B393" s="124" t="s">
        <v>1623</v>
      </c>
      <c r="C393" s="124" t="s">
        <v>1627</v>
      </c>
      <c r="D393" s="124" t="s">
        <v>39</v>
      </c>
      <c r="E393" s="124" t="s">
        <v>1436</v>
      </c>
      <c r="F393" s="135">
        <v>0</v>
      </c>
      <c r="G393" s="135">
        <v>2907.9</v>
      </c>
      <c r="H393" s="135">
        <v>2907.9</v>
      </c>
      <c r="I393" s="121">
        <v>0</v>
      </c>
      <c r="J393" s="121">
        <f t="shared" si="42"/>
        <v>100</v>
      </c>
    </row>
    <row r="394" spans="1:10" ht="36">
      <c r="A394" s="130" t="s">
        <v>896</v>
      </c>
      <c r="B394" s="124" t="s">
        <v>1623</v>
      </c>
      <c r="C394" s="124" t="s">
        <v>1627</v>
      </c>
      <c r="D394" s="124" t="s">
        <v>897</v>
      </c>
      <c r="E394" s="124"/>
      <c r="F394" s="132">
        <f aca="true" t="shared" si="49" ref="F394:H395">F395</f>
        <v>0</v>
      </c>
      <c r="G394" s="132">
        <f t="shared" si="49"/>
        <v>621.3000000000001</v>
      </c>
      <c r="H394" s="132">
        <f t="shared" si="49"/>
        <v>612.1</v>
      </c>
      <c r="I394" s="121">
        <v>0</v>
      </c>
      <c r="J394" s="121">
        <f t="shared" si="42"/>
        <v>98.5192338644777</v>
      </c>
    </row>
    <row r="395" spans="1:10" ht="24">
      <c r="A395" s="130" t="s">
        <v>1312</v>
      </c>
      <c r="B395" s="124" t="s">
        <v>898</v>
      </c>
      <c r="C395" s="124" t="s">
        <v>1627</v>
      </c>
      <c r="D395" s="124" t="s">
        <v>897</v>
      </c>
      <c r="E395" s="124" t="s">
        <v>1704</v>
      </c>
      <c r="F395" s="132">
        <f t="shared" si="49"/>
        <v>0</v>
      </c>
      <c r="G395" s="132">
        <f t="shared" si="49"/>
        <v>621.3000000000001</v>
      </c>
      <c r="H395" s="132">
        <f t="shared" si="49"/>
        <v>612.1</v>
      </c>
      <c r="I395" s="121">
        <v>0</v>
      </c>
      <c r="J395" s="121">
        <f t="shared" si="42"/>
        <v>98.5192338644777</v>
      </c>
    </row>
    <row r="396" spans="1:10" ht="24">
      <c r="A396" s="130" t="s">
        <v>621</v>
      </c>
      <c r="B396" s="124" t="s">
        <v>1623</v>
      </c>
      <c r="C396" s="124" t="s">
        <v>1627</v>
      </c>
      <c r="D396" s="124" t="s">
        <v>897</v>
      </c>
      <c r="E396" s="124" t="s">
        <v>1619</v>
      </c>
      <c r="F396" s="135">
        <v>0</v>
      </c>
      <c r="G396" s="135">
        <f>50.7+570.6</f>
        <v>621.3000000000001</v>
      </c>
      <c r="H396" s="135">
        <v>612.1</v>
      </c>
      <c r="I396" s="121">
        <v>0</v>
      </c>
      <c r="J396" s="121">
        <f t="shared" si="42"/>
        <v>98.5192338644777</v>
      </c>
    </row>
    <row r="397" spans="1:10" ht="108">
      <c r="A397" s="134" t="s">
        <v>795</v>
      </c>
      <c r="B397" s="124" t="s">
        <v>1623</v>
      </c>
      <c r="C397" s="124" t="s">
        <v>1627</v>
      </c>
      <c r="D397" s="124" t="s">
        <v>796</v>
      </c>
      <c r="E397" s="124"/>
      <c r="F397" s="132">
        <f aca="true" t="shared" si="50" ref="F397:H398">F398</f>
        <v>0</v>
      </c>
      <c r="G397" s="132">
        <f t="shared" si="50"/>
        <v>522.4</v>
      </c>
      <c r="H397" s="132">
        <f t="shared" si="50"/>
        <v>46.4</v>
      </c>
      <c r="I397" s="121">
        <v>0</v>
      </c>
      <c r="J397" s="121">
        <f t="shared" si="42"/>
        <v>8.88208269525268</v>
      </c>
    </row>
    <row r="398" spans="1:10" ht="24">
      <c r="A398" s="130" t="s">
        <v>1312</v>
      </c>
      <c r="B398" s="124" t="s">
        <v>1623</v>
      </c>
      <c r="C398" s="124" t="s">
        <v>1627</v>
      </c>
      <c r="D398" s="124" t="s">
        <v>796</v>
      </c>
      <c r="E398" s="124" t="s">
        <v>1704</v>
      </c>
      <c r="F398" s="132">
        <f t="shared" si="50"/>
        <v>0</v>
      </c>
      <c r="G398" s="132">
        <f t="shared" si="50"/>
        <v>522.4</v>
      </c>
      <c r="H398" s="132">
        <f t="shared" si="50"/>
        <v>46.4</v>
      </c>
      <c r="I398" s="121">
        <v>0</v>
      </c>
      <c r="J398" s="121">
        <f t="shared" si="42"/>
        <v>8.88208269525268</v>
      </c>
    </row>
    <row r="399" spans="1:10" ht="24">
      <c r="A399" s="130" t="s">
        <v>621</v>
      </c>
      <c r="B399" s="124" t="s">
        <v>1623</v>
      </c>
      <c r="C399" s="124" t="s">
        <v>1627</v>
      </c>
      <c r="D399" s="124" t="s">
        <v>796</v>
      </c>
      <c r="E399" s="124" t="s">
        <v>1619</v>
      </c>
      <c r="F399" s="135">
        <v>0</v>
      </c>
      <c r="G399" s="135">
        <f>822.8-300.4</f>
        <v>522.4</v>
      </c>
      <c r="H399" s="135">
        <v>46.4</v>
      </c>
      <c r="I399" s="121">
        <v>0</v>
      </c>
      <c r="J399" s="121">
        <f t="shared" si="42"/>
        <v>8.88208269525268</v>
      </c>
    </row>
    <row r="400" spans="1:10" ht="72">
      <c r="A400" s="130" t="s">
        <v>1655</v>
      </c>
      <c r="B400" s="124" t="s">
        <v>1623</v>
      </c>
      <c r="C400" s="124" t="s">
        <v>1627</v>
      </c>
      <c r="D400" s="124" t="s">
        <v>1656</v>
      </c>
      <c r="E400" s="124"/>
      <c r="F400" s="202">
        <f aca="true" t="shared" si="51" ref="F400:H401">F401</f>
        <v>0</v>
      </c>
      <c r="G400" s="202">
        <f t="shared" si="51"/>
        <v>2089.4</v>
      </c>
      <c r="H400" s="202">
        <f t="shared" si="51"/>
        <v>185.7</v>
      </c>
      <c r="I400" s="121">
        <v>0</v>
      </c>
      <c r="J400" s="121">
        <f aca="true" t="shared" si="52" ref="J400:J463">H400/G400*100</f>
        <v>8.887718962381545</v>
      </c>
    </row>
    <row r="401" spans="1:10" ht="24">
      <c r="A401" s="130" t="s">
        <v>1312</v>
      </c>
      <c r="B401" s="124" t="s">
        <v>1623</v>
      </c>
      <c r="C401" s="124" t="s">
        <v>1627</v>
      </c>
      <c r="D401" s="124" t="s">
        <v>1656</v>
      </c>
      <c r="E401" s="124" t="s">
        <v>1704</v>
      </c>
      <c r="F401" s="202">
        <f t="shared" si="51"/>
        <v>0</v>
      </c>
      <c r="G401" s="202">
        <f t="shared" si="51"/>
        <v>2089.4</v>
      </c>
      <c r="H401" s="202">
        <f t="shared" si="51"/>
        <v>185.7</v>
      </c>
      <c r="I401" s="121">
        <v>0</v>
      </c>
      <c r="J401" s="121">
        <f t="shared" si="52"/>
        <v>8.887718962381545</v>
      </c>
    </row>
    <row r="402" spans="1:10" ht="24">
      <c r="A402" s="130" t="s">
        <v>621</v>
      </c>
      <c r="B402" s="124" t="s">
        <v>1623</v>
      </c>
      <c r="C402" s="124" t="s">
        <v>1627</v>
      </c>
      <c r="D402" s="124" t="s">
        <v>1656</v>
      </c>
      <c r="E402" s="124" t="s">
        <v>1619</v>
      </c>
      <c r="F402" s="135">
        <v>0</v>
      </c>
      <c r="G402" s="135">
        <v>2089.4</v>
      </c>
      <c r="H402" s="135">
        <v>185.7</v>
      </c>
      <c r="I402" s="121">
        <v>0</v>
      </c>
      <c r="J402" s="121">
        <f t="shared" si="52"/>
        <v>8.887718962381545</v>
      </c>
    </row>
    <row r="403" spans="1:10" ht="36">
      <c r="A403" s="141" t="s">
        <v>1044</v>
      </c>
      <c r="B403" s="124" t="s">
        <v>1623</v>
      </c>
      <c r="C403" s="124" t="s">
        <v>1627</v>
      </c>
      <c r="D403" s="124" t="s">
        <v>546</v>
      </c>
      <c r="E403" s="124"/>
      <c r="F403" s="138">
        <f aca="true" t="shared" si="53" ref="F403:H406">F404</f>
        <v>15000</v>
      </c>
      <c r="G403" s="138">
        <f t="shared" si="53"/>
        <v>19419.6</v>
      </c>
      <c r="H403" s="138">
        <f t="shared" si="53"/>
        <v>18655.89</v>
      </c>
      <c r="I403" s="121">
        <f aca="true" t="shared" si="54" ref="I403:I463">H403/F403*100</f>
        <v>124.37259999999999</v>
      </c>
      <c r="J403" s="121">
        <f t="shared" si="52"/>
        <v>96.06732373478341</v>
      </c>
    </row>
    <row r="404" spans="1:10" ht="36">
      <c r="A404" s="130" t="s">
        <v>84</v>
      </c>
      <c r="B404" s="124" t="s">
        <v>1623</v>
      </c>
      <c r="C404" s="124" t="s">
        <v>1627</v>
      </c>
      <c r="D404" s="124" t="s">
        <v>547</v>
      </c>
      <c r="E404" s="124"/>
      <c r="F404" s="138">
        <f t="shared" si="53"/>
        <v>15000</v>
      </c>
      <c r="G404" s="138">
        <f t="shared" si="53"/>
        <v>19419.6</v>
      </c>
      <c r="H404" s="138">
        <f t="shared" si="53"/>
        <v>18655.89</v>
      </c>
      <c r="I404" s="121">
        <f t="shared" si="54"/>
        <v>124.37259999999999</v>
      </c>
      <c r="J404" s="121">
        <f t="shared" si="52"/>
        <v>96.06732373478341</v>
      </c>
    </row>
    <row r="405" spans="1:10" ht="24">
      <c r="A405" s="129" t="s">
        <v>755</v>
      </c>
      <c r="B405" s="124" t="s">
        <v>1623</v>
      </c>
      <c r="C405" s="124" t="s">
        <v>1627</v>
      </c>
      <c r="D405" s="124" t="s">
        <v>1461</v>
      </c>
      <c r="E405" s="124"/>
      <c r="F405" s="132">
        <f t="shared" si="53"/>
        <v>15000</v>
      </c>
      <c r="G405" s="132">
        <f t="shared" si="53"/>
        <v>19419.6</v>
      </c>
      <c r="H405" s="132">
        <f t="shared" si="53"/>
        <v>18655.89</v>
      </c>
      <c r="I405" s="121">
        <f t="shared" si="54"/>
        <v>124.37259999999999</v>
      </c>
      <c r="J405" s="121">
        <f t="shared" si="52"/>
        <v>96.06732373478341</v>
      </c>
    </row>
    <row r="406" spans="1:10" ht="36">
      <c r="A406" s="129" t="s">
        <v>752</v>
      </c>
      <c r="B406" s="124" t="s">
        <v>1623</v>
      </c>
      <c r="C406" s="124" t="s">
        <v>1627</v>
      </c>
      <c r="D406" s="124" t="s">
        <v>1461</v>
      </c>
      <c r="E406" s="124" t="s">
        <v>751</v>
      </c>
      <c r="F406" s="132">
        <f t="shared" si="53"/>
        <v>15000</v>
      </c>
      <c r="G406" s="132">
        <f t="shared" si="53"/>
        <v>19419.6</v>
      </c>
      <c r="H406" s="132">
        <f t="shared" si="53"/>
        <v>18655.89</v>
      </c>
      <c r="I406" s="121">
        <f t="shared" si="54"/>
        <v>124.37259999999999</v>
      </c>
      <c r="J406" s="121">
        <f t="shared" si="52"/>
        <v>96.06732373478341</v>
      </c>
    </row>
    <row r="407" spans="1:10" ht="24">
      <c r="A407" s="134" t="s">
        <v>18</v>
      </c>
      <c r="B407" s="124" t="s">
        <v>1623</v>
      </c>
      <c r="C407" s="124" t="s">
        <v>1627</v>
      </c>
      <c r="D407" s="124" t="s">
        <v>1461</v>
      </c>
      <c r="E407" s="124" t="s">
        <v>1436</v>
      </c>
      <c r="F407" s="135">
        <f>15000+F408+F409</f>
        <v>15000</v>
      </c>
      <c r="G407" s="135">
        <f>15000+850+G408+G409</f>
        <v>19419.6</v>
      </c>
      <c r="H407" s="135">
        <f>15000+850+H408+H409</f>
        <v>18655.89</v>
      </c>
      <c r="I407" s="121">
        <f t="shared" si="54"/>
        <v>124.37259999999999</v>
      </c>
      <c r="J407" s="121">
        <f t="shared" si="52"/>
        <v>96.06732373478341</v>
      </c>
    </row>
    <row r="408" spans="1:10" ht="221.25" customHeight="1">
      <c r="A408" s="153" t="s">
        <v>797</v>
      </c>
      <c r="B408" s="124" t="s">
        <v>1623</v>
      </c>
      <c r="C408" s="124" t="s">
        <v>1627</v>
      </c>
      <c r="D408" s="124" t="s">
        <v>1461</v>
      </c>
      <c r="E408" s="124" t="s">
        <v>1436</v>
      </c>
      <c r="F408" s="135">
        <v>0</v>
      </c>
      <c r="G408" s="135">
        <v>27.6</v>
      </c>
      <c r="H408" s="135">
        <v>8.29</v>
      </c>
      <c r="I408" s="121">
        <v>0</v>
      </c>
      <c r="J408" s="121">
        <f t="shared" si="52"/>
        <v>30.03623188405797</v>
      </c>
    </row>
    <row r="409" spans="1:10" ht="60">
      <c r="A409" s="152" t="s">
        <v>1375</v>
      </c>
      <c r="B409" s="124" t="s">
        <v>1623</v>
      </c>
      <c r="C409" s="124" t="s">
        <v>1627</v>
      </c>
      <c r="D409" s="124" t="s">
        <v>1461</v>
      </c>
      <c r="E409" s="124" t="s">
        <v>1436</v>
      </c>
      <c r="F409" s="135">
        <v>0</v>
      </c>
      <c r="G409" s="135">
        <v>3542</v>
      </c>
      <c r="H409" s="135">
        <v>2797.6</v>
      </c>
      <c r="I409" s="121">
        <v>0</v>
      </c>
      <c r="J409" s="121">
        <f t="shared" si="52"/>
        <v>78.98362507058158</v>
      </c>
    </row>
    <row r="410" spans="1:10" ht="36">
      <c r="A410" s="141" t="s">
        <v>1458</v>
      </c>
      <c r="B410" s="124" t="s">
        <v>1623</v>
      </c>
      <c r="C410" s="124" t="s">
        <v>1627</v>
      </c>
      <c r="D410" s="124" t="s">
        <v>1265</v>
      </c>
      <c r="E410" s="124"/>
      <c r="F410" s="132">
        <f aca="true" t="shared" si="55" ref="F410:H412">F411</f>
        <v>1620</v>
      </c>
      <c r="G410" s="132">
        <f t="shared" si="55"/>
        <v>4780.7</v>
      </c>
      <c r="H410" s="132">
        <f t="shared" si="55"/>
        <v>4522.3</v>
      </c>
      <c r="I410" s="121">
        <f t="shared" si="54"/>
        <v>279.15432098765433</v>
      </c>
      <c r="J410" s="121">
        <f t="shared" si="52"/>
        <v>94.594933796306</v>
      </c>
    </row>
    <row r="411" spans="1:10" ht="48">
      <c r="A411" s="134" t="s">
        <v>967</v>
      </c>
      <c r="B411" s="124" t="s">
        <v>1623</v>
      </c>
      <c r="C411" s="124" t="s">
        <v>1627</v>
      </c>
      <c r="D411" s="124" t="s">
        <v>1272</v>
      </c>
      <c r="E411" s="124"/>
      <c r="F411" s="132">
        <f t="shared" si="55"/>
        <v>1620</v>
      </c>
      <c r="G411" s="132">
        <f t="shared" si="55"/>
        <v>4780.7</v>
      </c>
      <c r="H411" s="132">
        <f t="shared" si="55"/>
        <v>4522.3</v>
      </c>
      <c r="I411" s="121">
        <f t="shared" si="54"/>
        <v>279.15432098765433</v>
      </c>
      <c r="J411" s="121">
        <f t="shared" si="52"/>
        <v>94.594933796306</v>
      </c>
    </row>
    <row r="412" spans="1:10" ht="36">
      <c r="A412" s="129" t="s">
        <v>752</v>
      </c>
      <c r="B412" s="124" t="s">
        <v>1623</v>
      </c>
      <c r="C412" s="124" t="s">
        <v>1627</v>
      </c>
      <c r="D412" s="124" t="s">
        <v>1273</v>
      </c>
      <c r="E412" s="124" t="s">
        <v>751</v>
      </c>
      <c r="F412" s="132">
        <f t="shared" si="55"/>
        <v>1620</v>
      </c>
      <c r="G412" s="132">
        <f t="shared" si="55"/>
        <v>4780.7</v>
      </c>
      <c r="H412" s="132">
        <f t="shared" si="55"/>
        <v>4522.3</v>
      </c>
      <c r="I412" s="121">
        <f t="shared" si="54"/>
        <v>279.15432098765433</v>
      </c>
      <c r="J412" s="121">
        <f t="shared" si="52"/>
        <v>94.594933796306</v>
      </c>
    </row>
    <row r="413" spans="1:10" ht="15.75">
      <c r="A413" s="134" t="s">
        <v>1435</v>
      </c>
      <c r="B413" s="124" t="s">
        <v>1623</v>
      </c>
      <c r="C413" s="124" t="s">
        <v>1627</v>
      </c>
      <c r="D413" s="124" t="s">
        <v>1273</v>
      </c>
      <c r="E413" s="124" t="s">
        <v>1436</v>
      </c>
      <c r="F413" s="135">
        <f>1620</f>
        <v>1620</v>
      </c>
      <c r="G413" s="135">
        <f>1620+100+1265+1795.7</f>
        <v>4780.7</v>
      </c>
      <c r="H413" s="135">
        <v>4522.3</v>
      </c>
      <c r="I413" s="121">
        <f t="shared" si="54"/>
        <v>279.15432098765433</v>
      </c>
      <c r="J413" s="121">
        <f t="shared" si="52"/>
        <v>94.594933796306</v>
      </c>
    </row>
    <row r="414" spans="1:10" ht="36">
      <c r="A414" s="143" t="s">
        <v>433</v>
      </c>
      <c r="B414" s="124" t="s">
        <v>1623</v>
      </c>
      <c r="C414" s="124" t="s">
        <v>1627</v>
      </c>
      <c r="D414" s="124" t="s">
        <v>548</v>
      </c>
      <c r="E414" s="124"/>
      <c r="F414" s="154">
        <f aca="true" t="shared" si="56" ref="F414:H416">F415</f>
        <v>0</v>
      </c>
      <c r="G414" s="154">
        <f t="shared" si="56"/>
        <v>6000</v>
      </c>
      <c r="H414" s="154">
        <f t="shared" si="56"/>
        <v>870</v>
      </c>
      <c r="I414" s="121">
        <v>0</v>
      </c>
      <c r="J414" s="121">
        <f t="shared" si="52"/>
        <v>14.499999999999998</v>
      </c>
    </row>
    <row r="415" spans="1:10" ht="48">
      <c r="A415" s="129" t="s">
        <v>1352</v>
      </c>
      <c r="B415" s="124" t="s">
        <v>1623</v>
      </c>
      <c r="C415" s="124" t="s">
        <v>1627</v>
      </c>
      <c r="D415" s="124" t="s">
        <v>1372</v>
      </c>
      <c r="E415" s="124"/>
      <c r="F415" s="154">
        <f t="shared" si="56"/>
        <v>0</v>
      </c>
      <c r="G415" s="154">
        <f t="shared" si="56"/>
        <v>6000</v>
      </c>
      <c r="H415" s="154">
        <f t="shared" si="56"/>
        <v>870</v>
      </c>
      <c r="I415" s="121">
        <v>0</v>
      </c>
      <c r="J415" s="121">
        <f t="shared" si="52"/>
        <v>14.499999999999998</v>
      </c>
    </row>
    <row r="416" spans="1:10" ht="24">
      <c r="A416" s="130" t="s">
        <v>1312</v>
      </c>
      <c r="B416" s="124" t="s">
        <v>1623</v>
      </c>
      <c r="C416" s="124" t="s">
        <v>1627</v>
      </c>
      <c r="D416" s="124" t="s">
        <v>1353</v>
      </c>
      <c r="E416" s="124" t="s">
        <v>1704</v>
      </c>
      <c r="F416" s="154">
        <f t="shared" si="56"/>
        <v>0</v>
      </c>
      <c r="G416" s="154">
        <f t="shared" si="56"/>
        <v>6000</v>
      </c>
      <c r="H416" s="154">
        <f t="shared" si="56"/>
        <v>870</v>
      </c>
      <c r="I416" s="121">
        <v>0</v>
      </c>
      <c r="J416" s="121">
        <f t="shared" si="52"/>
        <v>14.499999999999998</v>
      </c>
    </row>
    <row r="417" spans="1:10" ht="24">
      <c r="A417" s="130" t="s">
        <v>1406</v>
      </c>
      <c r="B417" s="124" t="s">
        <v>1623</v>
      </c>
      <c r="C417" s="124" t="s">
        <v>1627</v>
      </c>
      <c r="D417" s="124" t="s">
        <v>1353</v>
      </c>
      <c r="E417" s="124" t="s">
        <v>1619</v>
      </c>
      <c r="F417" s="135">
        <v>0</v>
      </c>
      <c r="G417" s="135">
        <v>6000</v>
      </c>
      <c r="H417" s="135">
        <v>870</v>
      </c>
      <c r="I417" s="121">
        <v>0</v>
      </c>
      <c r="J417" s="121">
        <f t="shared" si="52"/>
        <v>14.499999999999998</v>
      </c>
    </row>
    <row r="418" spans="1:10" ht="36">
      <c r="A418" s="141" t="s">
        <v>431</v>
      </c>
      <c r="B418" s="124" t="s">
        <v>1623</v>
      </c>
      <c r="C418" s="124" t="s">
        <v>1627</v>
      </c>
      <c r="D418" s="124" t="s">
        <v>430</v>
      </c>
      <c r="E418" s="124"/>
      <c r="F418" s="132">
        <f aca="true" t="shared" si="57" ref="F418:H421">F419</f>
        <v>87000</v>
      </c>
      <c r="G418" s="132">
        <f t="shared" si="57"/>
        <v>95194.8</v>
      </c>
      <c r="H418" s="132">
        <f t="shared" si="57"/>
        <v>93080.2</v>
      </c>
      <c r="I418" s="121">
        <f t="shared" si="54"/>
        <v>106.98873563218389</v>
      </c>
      <c r="J418" s="121">
        <f t="shared" si="52"/>
        <v>97.77866017891733</v>
      </c>
    </row>
    <row r="419" spans="1:10" ht="24">
      <c r="A419" s="129" t="s">
        <v>798</v>
      </c>
      <c r="B419" s="124" t="s">
        <v>1623</v>
      </c>
      <c r="C419" s="124" t="s">
        <v>1627</v>
      </c>
      <c r="D419" s="124" t="s">
        <v>799</v>
      </c>
      <c r="E419" s="124"/>
      <c r="F419" s="132">
        <f t="shared" si="57"/>
        <v>87000</v>
      </c>
      <c r="G419" s="132">
        <f t="shared" si="57"/>
        <v>95194.8</v>
      </c>
      <c r="H419" s="132">
        <f t="shared" si="57"/>
        <v>93080.2</v>
      </c>
      <c r="I419" s="121">
        <f t="shared" si="54"/>
        <v>106.98873563218389</v>
      </c>
      <c r="J419" s="121">
        <f t="shared" si="52"/>
        <v>97.77866017891733</v>
      </c>
    </row>
    <row r="420" spans="1:10" ht="15.75">
      <c r="A420" s="134" t="s">
        <v>1237</v>
      </c>
      <c r="B420" s="124" t="s">
        <v>1623</v>
      </c>
      <c r="C420" s="124" t="s">
        <v>1627</v>
      </c>
      <c r="D420" s="124" t="s">
        <v>800</v>
      </c>
      <c r="E420" s="124"/>
      <c r="F420" s="132">
        <f t="shared" si="57"/>
        <v>87000</v>
      </c>
      <c r="G420" s="132">
        <f t="shared" si="57"/>
        <v>95194.8</v>
      </c>
      <c r="H420" s="132">
        <f t="shared" si="57"/>
        <v>93080.2</v>
      </c>
      <c r="I420" s="121">
        <f t="shared" si="54"/>
        <v>106.98873563218389</v>
      </c>
      <c r="J420" s="121">
        <f t="shared" si="52"/>
        <v>97.77866017891733</v>
      </c>
    </row>
    <row r="421" spans="1:10" ht="24">
      <c r="A421" s="130" t="s">
        <v>1312</v>
      </c>
      <c r="B421" s="124" t="s">
        <v>1623</v>
      </c>
      <c r="C421" s="124" t="s">
        <v>1627</v>
      </c>
      <c r="D421" s="124" t="s">
        <v>800</v>
      </c>
      <c r="E421" s="124" t="s">
        <v>1704</v>
      </c>
      <c r="F421" s="132">
        <f t="shared" si="57"/>
        <v>87000</v>
      </c>
      <c r="G421" s="132">
        <f t="shared" si="57"/>
        <v>95194.8</v>
      </c>
      <c r="H421" s="132">
        <f t="shared" si="57"/>
        <v>93080.2</v>
      </c>
      <c r="I421" s="121">
        <f t="shared" si="54"/>
        <v>106.98873563218389</v>
      </c>
      <c r="J421" s="121">
        <f t="shared" si="52"/>
        <v>97.77866017891733</v>
      </c>
    </row>
    <row r="422" spans="1:10" ht="24">
      <c r="A422" s="130" t="s">
        <v>1406</v>
      </c>
      <c r="B422" s="124" t="s">
        <v>1623</v>
      </c>
      <c r="C422" s="124" t="s">
        <v>1627</v>
      </c>
      <c r="D422" s="124" t="s">
        <v>800</v>
      </c>
      <c r="E422" s="124" t="s">
        <v>1619</v>
      </c>
      <c r="F422" s="135">
        <f>66000+21000</f>
        <v>87000</v>
      </c>
      <c r="G422" s="135">
        <f>66000+21000-1178+9372.8</f>
        <v>95194.8</v>
      </c>
      <c r="H422" s="135">
        <v>93080.2</v>
      </c>
      <c r="I422" s="121">
        <f t="shared" si="54"/>
        <v>106.98873563218389</v>
      </c>
      <c r="J422" s="121">
        <f t="shared" si="52"/>
        <v>97.77866017891733</v>
      </c>
    </row>
    <row r="423" spans="1:10" ht="38.25" customHeight="1">
      <c r="A423" s="130" t="s">
        <v>1052</v>
      </c>
      <c r="B423" s="124" t="s">
        <v>1623</v>
      </c>
      <c r="C423" s="124" t="s">
        <v>1627</v>
      </c>
      <c r="D423" s="124" t="s">
        <v>1053</v>
      </c>
      <c r="E423" s="124"/>
      <c r="F423" s="132">
        <f aca="true" t="shared" si="58" ref="F423:H424">F424</f>
        <v>0</v>
      </c>
      <c r="G423" s="132">
        <f t="shared" si="58"/>
        <v>2000</v>
      </c>
      <c r="H423" s="132">
        <f t="shared" si="58"/>
        <v>1900</v>
      </c>
      <c r="I423" s="121">
        <v>0</v>
      </c>
      <c r="J423" s="121">
        <f t="shared" si="52"/>
        <v>95</v>
      </c>
    </row>
    <row r="424" spans="1:10" ht="24">
      <c r="A424" s="130" t="s">
        <v>1312</v>
      </c>
      <c r="B424" s="124" t="s">
        <v>1623</v>
      </c>
      <c r="C424" s="124" t="s">
        <v>1627</v>
      </c>
      <c r="D424" s="124" t="s">
        <v>1053</v>
      </c>
      <c r="E424" s="124" t="s">
        <v>1704</v>
      </c>
      <c r="F424" s="132">
        <f t="shared" si="58"/>
        <v>0</v>
      </c>
      <c r="G424" s="132">
        <f t="shared" si="58"/>
        <v>2000</v>
      </c>
      <c r="H424" s="132">
        <f t="shared" si="58"/>
        <v>1900</v>
      </c>
      <c r="I424" s="121">
        <v>0</v>
      </c>
      <c r="J424" s="121">
        <f t="shared" si="52"/>
        <v>95</v>
      </c>
    </row>
    <row r="425" spans="1:10" ht="24">
      <c r="A425" s="130" t="s">
        <v>1406</v>
      </c>
      <c r="B425" s="124" t="s">
        <v>1623</v>
      </c>
      <c r="C425" s="124" t="s">
        <v>1627</v>
      </c>
      <c r="D425" s="124" t="s">
        <v>1053</v>
      </c>
      <c r="E425" s="124" t="s">
        <v>1619</v>
      </c>
      <c r="F425" s="135">
        <v>0</v>
      </c>
      <c r="G425" s="135">
        <v>2000</v>
      </c>
      <c r="H425" s="135">
        <v>1900</v>
      </c>
      <c r="I425" s="121">
        <v>0</v>
      </c>
      <c r="J425" s="121">
        <f t="shared" si="52"/>
        <v>95</v>
      </c>
    </row>
    <row r="426" spans="1:10" ht="15.75">
      <c r="A426" s="144" t="s">
        <v>822</v>
      </c>
      <c r="B426" s="123" t="s">
        <v>1622</v>
      </c>
      <c r="C426" s="124"/>
      <c r="D426" s="124"/>
      <c r="E426" s="124"/>
      <c r="F426" s="1">
        <f>F427</f>
        <v>3500</v>
      </c>
      <c r="G426" s="1">
        <f>G427</f>
        <v>10196.4</v>
      </c>
      <c r="H426" s="1">
        <f>H427</f>
        <v>9751.2</v>
      </c>
      <c r="I426" s="121">
        <f t="shared" si="54"/>
        <v>278.6057142857143</v>
      </c>
      <c r="J426" s="121">
        <f t="shared" si="52"/>
        <v>95.63375308932565</v>
      </c>
    </row>
    <row r="427" spans="1:10" ht="24">
      <c r="A427" s="133" t="s">
        <v>1605</v>
      </c>
      <c r="B427" s="124" t="s">
        <v>1622</v>
      </c>
      <c r="C427" s="124" t="s">
        <v>1627</v>
      </c>
      <c r="D427" s="124"/>
      <c r="E427" s="124"/>
      <c r="F427" s="132">
        <f>F428+F436+F439</f>
        <v>3500</v>
      </c>
      <c r="G427" s="132">
        <f>G428+G436+G439</f>
        <v>10196.4</v>
      </c>
      <c r="H427" s="132">
        <f>H428+H436+H439</f>
        <v>9751.2</v>
      </c>
      <c r="I427" s="121">
        <f t="shared" si="54"/>
        <v>278.6057142857143</v>
      </c>
      <c r="J427" s="121">
        <f t="shared" si="52"/>
        <v>95.63375308932565</v>
      </c>
    </row>
    <row r="428" spans="1:10" ht="36">
      <c r="A428" s="137" t="s">
        <v>40</v>
      </c>
      <c r="B428" s="124" t="s">
        <v>1622</v>
      </c>
      <c r="C428" s="124" t="s">
        <v>1627</v>
      </c>
      <c r="D428" s="124" t="s">
        <v>1725</v>
      </c>
      <c r="E428" s="124"/>
      <c r="F428" s="132">
        <f>F429</f>
        <v>1880</v>
      </c>
      <c r="G428" s="132">
        <f>G429</f>
        <v>4800</v>
      </c>
      <c r="H428" s="132">
        <f>H429</f>
        <v>4395.200000000001</v>
      </c>
      <c r="I428" s="121">
        <f t="shared" si="54"/>
        <v>233.78723404255322</v>
      </c>
      <c r="J428" s="121">
        <f t="shared" si="52"/>
        <v>91.56666666666669</v>
      </c>
    </row>
    <row r="429" spans="1:10" ht="36">
      <c r="A429" s="129" t="s">
        <v>41</v>
      </c>
      <c r="B429" s="124" t="s">
        <v>1622</v>
      </c>
      <c r="C429" s="124" t="s">
        <v>1627</v>
      </c>
      <c r="D429" s="124" t="s">
        <v>42</v>
      </c>
      <c r="E429" s="124"/>
      <c r="F429" s="132">
        <f>F430+F432+F434</f>
        <v>1880</v>
      </c>
      <c r="G429" s="132">
        <f>G430+G432+G434</f>
        <v>4800</v>
      </c>
      <c r="H429" s="132">
        <f>H430+H432+H434</f>
        <v>4395.200000000001</v>
      </c>
      <c r="I429" s="121">
        <f t="shared" si="54"/>
        <v>233.78723404255322</v>
      </c>
      <c r="J429" s="121">
        <f t="shared" si="52"/>
        <v>91.56666666666669</v>
      </c>
    </row>
    <row r="430" spans="1:10" ht="15.75">
      <c r="A430" s="134" t="s">
        <v>1435</v>
      </c>
      <c r="B430" s="124" t="s">
        <v>1622</v>
      </c>
      <c r="C430" s="124" t="s">
        <v>1627</v>
      </c>
      <c r="D430" s="124" t="s">
        <v>44</v>
      </c>
      <c r="E430" s="124" t="s">
        <v>751</v>
      </c>
      <c r="F430" s="132">
        <f>F431</f>
        <v>580</v>
      </c>
      <c r="G430" s="132">
        <f>G431</f>
        <v>3600</v>
      </c>
      <c r="H430" s="132">
        <f>H431</f>
        <v>3425.8</v>
      </c>
      <c r="I430" s="121">
        <f t="shared" si="54"/>
        <v>590.6551724137931</v>
      </c>
      <c r="J430" s="121">
        <f t="shared" si="52"/>
        <v>95.16111111111113</v>
      </c>
    </row>
    <row r="431" spans="1:10" ht="24">
      <c r="A431" s="134" t="s">
        <v>1434</v>
      </c>
      <c r="B431" s="124" t="s">
        <v>1622</v>
      </c>
      <c r="C431" s="124" t="s">
        <v>1627</v>
      </c>
      <c r="D431" s="124" t="s">
        <v>44</v>
      </c>
      <c r="E431" s="124" t="s">
        <v>1436</v>
      </c>
      <c r="F431" s="135">
        <f>580</f>
        <v>580</v>
      </c>
      <c r="G431" s="135">
        <f>580+1420+1500+100</f>
        <v>3600</v>
      </c>
      <c r="H431" s="135">
        <v>3425.8</v>
      </c>
      <c r="I431" s="121">
        <f t="shared" si="54"/>
        <v>590.6551724137931</v>
      </c>
      <c r="J431" s="121">
        <f t="shared" si="52"/>
        <v>95.16111111111113</v>
      </c>
    </row>
    <row r="432" spans="1:10" ht="24">
      <c r="A432" s="130" t="s">
        <v>621</v>
      </c>
      <c r="B432" s="124" t="s">
        <v>1622</v>
      </c>
      <c r="C432" s="124" t="s">
        <v>1627</v>
      </c>
      <c r="D432" s="124" t="s">
        <v>43</v>
      </c>
      <c r="E432" s="124" t="s">
        <v>1704</v>
      </c>
      <c r="F432" s="132">
        <f>F433</f>
        <v>1100</v>
      </c>
      <c r="G432" s="132">
        <f>G433</f>
        <v>1000</v>
      </c>
      <c r="H432" s="132">
        <f>H433</f>
        <v>893.8</v>
      </c>
      <c r="I432" s="121">
        <f t="shared" si="54"/>
        <v>81.25454545454545</v>
      </c>
      <c r="J432" s="121">
        <f t="shared" si="52"/>
        <v>89.38</v>
      </c>
    </row>
    <row r="433" spans="1:10" ht="24">
      <c r="A433" s="130" t="s">
        <v>703</v>
      </c>
      <c r="B433" s="124" t="s">
        <v>1622</v>
      </c>
      <c r="C433" s="124" t="s">
        <v>1627</v>
      </c>
      <c r="D433" s="124" t="s">
        <v>43</v>
      </c>
      <c r="E433" s="124" t="s">
        <v>1619</v>
      </c>
      <c r="F433" s="135">
        <f>1100</f>
        <v>1100</v>
      </c>
      <c r="G433" s="135">
        <f>1100-100</f>
        <v>1000</v>
      </c>
      <c r="H433" s="135">
        <v>893.8</v>
      </c>
      <c r="I433" s="121">
        <f t="shared" si="54"/>
        <v>81.25454545454545</v>
      </c>
      <c r="J433" s="121">
        <f t="shared" si="52"/>
        <v>89.38</v>
      </c>
    </row>
    <row r="434" spans="1:10" ht="15.75">
      <c r="A434" s="134" t="s">
        <v>1242</v>
      </c>
      <c r="B434" s="124" t="s">
        <v>1622</v>
      </c>
      <c r="C434" s="124" t="s">
        <v>1627</v>
      </c>
      <c r="D434" s="124" t="s">
        <v>43</v>
      </c>
      <c r="E434" s="147" t="s">
        <v>911</v>
      </c>
      <c r="F434" s="132">
        <f>F435</f>
        <v>200</v>
      </c>
      <c r="G434" s="132">
        <f>G435</f>
        <v>200</v>
      </c>
      <c r="H434" s="132">
        <f>H435</f>
        <v>75.6</v>
      </c>
      <c r="I434" s="121">
        <f t="shared" si="54"/>
        <v>37.8</v>
      </c>
      <c r="J434" s="121">
        <f t="shared" si="52"/>
        <v>37.8</v>
      </c>
    </row>
    <row r="435" spans="1:10" ht="15.75">
      <c r="A435" s="134" t="s">
        <v>912</v>
      </c>
      <c r="B435" s="124" t="s">
        <v>1622</v>
      </c>
      <c r="C435" s="124" t="s">
        <v>1627</v>
      </c>
      <c r="D435" s="124" t="s">
        <v>43</v>
      </c>
      <c r="E435" s="124" t="s">
        <v>913</v>
      </c>
      <c r="F435" s="135">
        <v>200</v>
      </c>
      <c r="G435" s="135">
        <v>200</v>
      </c>
      <c r="H435" s="135">
        <v>75.6</v>
      </c>
      <c r="I435" s="121">
        <f t="shared" si="54"/>
        <v>37.8</v>
      </c>
      <c r="J435" s="121">
        <f t="shared" si="52"/>
        <v>37.8</v>
      </c>
    </row>
    <row r="436" spans="1:10" ht="36">
      <c r="A436" s="136" t="s">
        <v>149</v>
      </c>
      <c r="B436" s="124" t="s">
        <v>1622</v>
      </c>
      <c r="C436" s="124" t="s">
        <v>1627</v>
      </c>
      <c r="D436" s="124" t="s">
        <v>1724</v>
      </c>
      <c r="E436" s="124"/>
      <c r="F436" s="132">
        <f aca="true" t="shared" si="59" ref="F436:H437">F437</f>
        <v>120</v>
      </c>
      <c r="G436" s="132">
        <f t="shared" si="59"/>
        <v>120</v>
      </c>
      <c r="H436" s="132">
        <f t="shared" si="59"/>
        <v>117.3</v>
      </c>
      <c r="I436" s="121">
        <f t="shared" si="54"/>
        <v>97.74999999999999</v>
      </c>
      <c r="J436" s="121">
        <f t="shared" si="52"/>
        <v>97.74999999999999</v>
      </c>
    </row>
    <row r="437" spans="1:10" ht="24">
      <c r="A437" s="130" t="s">
        <v>621</v>
      </c>
      <c r="B437" s="124" t="s">
        <v>1622</v>
      </c>
      <c r="C437" s="124" t="s">
        <v>1627</v>
      </c>
      <c r="D437" s="124" t="s">
        <v>150</v>
      </c>
      <c r="E437" s="124" t="s">
        <v>1704</v>
      </c>
      <c r="F437" s="135">
        <f t="shared" si="59"/>
        <v>120</v>
      </c>
      <c r="G437" s="135">
        <f t="shared" si="59"/>
        <v>120</v>
      </c>
      <c r="H437" s="135">
        <f t="shared" si="59"/>
        <v>117.3</v>
      </c>
      <c r="I437" s="121">
        <f t="shared" si="54"/>
        <v>97.74999999999999</v>
      </c>
      <c r="J437" s="121">
        <f t="shared" si="52"/>
        <v>97.74999999999999</v>
      </c>
    </row>
    <row r="438" spans="1:10" ht="24">
      <c r="A438" s="130" t="s">
        <v>703</v>
      </c>
      <c r="B438" s="124" t="s">
        <v>1622</v>
      </c>
      <c r="C438" s="124" t="s">
        <v>1627</v>
      </c>
      <c r="D438" s="124" t="s">
        <v>150</v>
      </c>
      <c r="E438" s="124" t="s">
        <v>1619</v>
      </c>
      <c r="F438" s="135">
        <v>120</v>
      </c>
      <c r="G438" s="135">
        <v>120</v>
      </c>
      <c r="H438" s="135">
        <v>117.3</v>
      </c>
      <c r="I438" s="121">
        <f t="shared" si="54"/>
        <v>97.74999999999999</v>
      </c>
      <c r="J438" s="121">
        <f t="shared" si="52"/>
        <v>97.74999999999999</v>
      </c>
    </row>
    <row r="439" spans="1:10" ht="72">
      <c r="A439" s="129" t="s">
        <v>801</v>
      </c>
      <c r="B439" s="124" t="s">
        <v>1622</v>
      </c>
      <c r="C439" s="124" t="s">
        <v>1627</v>
      </c>
      <c r="D439" s="124" t="s">
        <v>708</v>
      </c>
      <c r="E439" s="124"/>
      <c r="F439" s="132">
        <f>F440+F442+F444</f>
        <v>1500</v>
      </c>
      <c r="G439" s="132">
        <f>G440+G442+G444</f>
        <v>5276.4</v>
      </c>
      <c r="H439" s="132">
        <f>H440+H442+H444</f>
        <v>5238.7</v>
      </c>
      <c r="I439" s="121">
        <f t="shared" si="54"/>
        <v>349.24666666666667</v>
      </c>
      <c r="J439" s="121">
        <f t="shared" si="52"/>
        <v>99.28549768781745</v>
      </c>
    </row>
    <row r="440" spans="1:10" ht="15.75">
      <c r="A440" s="134" t="s">
        <v>1435</v>
      </c>
      <c r="B440" s="124" t="s">
        <v>1622</v>
      </c>
      <c r="C440" s="124" t="s">
        <v>1627</v>
      </c>
      <c r="D440" s="124" t="s">
        <v>710</v>
      </c>
      <c r="E440" s="147" t="s">
        <v>751</v>
      </c>
      <c r="F440" s="132">
        <f>F441</f>
        <v>1000</v>
      </c>
      <c r="G440" s="132">
        <f>G441</f>
        <v>4776.4</v>
      </c>
      <c r="H440" s="132">
        <f>H441</f>
        <v>4776.4</v>
      </c>
      <c r="I440" s="121">
        <f t="shared" si="54"/>
        <v>477.64</v>
      </c>
      <c r="J440" s="121">
        <f t="shared" si="52"/>
        <v>100</v>
      </c>
    </row>
    <row r="441" spans="1:10" ht="24">
      <c r="A441" s="134" t="s">
        <v>1434</v>
      </c>
      <c r="B441" s="124" t="s">
        <v>1622</v>
      </c>
      <c r="C441" s="124" t="s">
        <v>1627</v>
      </c>
      <c r="D441" s="124" t="s">
        <v>710</v>
      </c>
      <c r="E441" s="147" t="s">
        <v>1436</v>
      </c>
      <c r="F441" s="135">
        <f>1000</f>
        <v>1000</v>
      </c>
      <c r="G441" s="135">
        <f>1000+1000+1174+1602.4</f>
        <v>4776.4</v>
      </c>
      <c r="H441" s="135">
        <f>1000+1000+1174+1602.4</f>
        <v>4776.4</v>
      </c>
      <c r="I441" s="121">
        <f t="shared" si="54"/>
        <v>477.64</v>
      </c>
      <c r="J441" s="121">
        <f t="shared" si="52"/>
        <v>100</v>
      </c>
    </row>
    <row r="442" spans="1:10" ht="24">
      <c r="A442" s="130" t="s">
        <v>621</v>
      </c>
      <c r="B442" s="124" t="s">
        <v>1622</v>
      </c>
      <c r="C442" s="124" t="s">
        <v>1627</v>
      </c>
      <c r="D442" s="124" t="s">
        <v>709</v>
      </c>
      <c r="E442" s="147" t="s">
        <v>1704</v>
      </c>
      <c r="F442" s="135">
        <f>F443</f>
        <v>0</v>
      </c>
      <c r="G442" s="135">
        <f>G443</f>
        <v>500</v>
      </c>
      <c r="H442" s="135">
        <f>H443</f>
        <v>462.3</v>
      </c>
      <c r="I442" s="121">
        <v>0</v>
      </c>
      <c r="J442" s="121">
        <f t="shared" si="52"/>
        <v>92.46</v>
      </c>
    </row>
    <row r="443" spans="1:10" ht="24">
      <c r="A443" s="130" t="s">
        <v>703</v>
      </c>
      <c r="B443" s="124" t="s">
        <v>1622</v>
      </c>
      <c r="C443" s="124" t="s">
        <v>1627</v>
      </c>
      <c r="D443" s="124" t="s">
        <v>709</v>
      </c>
      <c r="E443" s="147" t="s">
        <v>1619</v>
      </c>
      <c r="F443" s="135">
        <v>0</v>
      </c>
      <c r="G443" s="135">
        <v>500</v>
      </c>
      <c r="H443" s="135">
        <v>462.3</v>
      </c>
      <c r="I443" s="121">
        <v>0</v>
      </c>
      <c r="J443" s="121">
        <f t="shared" si="52"/>
        <v>92.46</v>
      </c>
    </row>
    <row r="444" spans="1:10" ht="15.75">
      <c r="A444" s="130" t="s">
        <v>910</v>
      </c>
      <c r="B444" s="124" t="s">
        <v>1622</v>
      </c>
      <c r="C444" s="124" t="s">
        <v>1627</v>
      </c>
      <c r="D444" s="124" t="s">
        <v>709</v>
      </c>
      <c r="E444" s="124" t="s">
        <v>911</v>
      </c>
      <c r="F444" s="132">
        <f>F445</f>
        <v>500</v>
      </c>
      <c r="G444" s="132">
        <f>G445</f>
        <v>0</v>
      </c>
      <c r="H444" s="132">
        <f>H445</f>
        <v>0</v>
      </c>
      <c r="I444" s="121">
        <f t="shared" si="54"/>
        <v>0</v>
      </c>
      <c r="J444" s="121">
        <v>0</v>
      </c>
    </row>
    <row r="445" spans="1:10" ht="15.75">
      <c r="A445" s="134" t="s">
        <v>912</v>
      </c>
      <c r="B445" s="124" t="s">
        <v>1622</v>
      </c>
      <c r="C445" s="124" t="s">
        <v>1627</v>
      </c>
      <c r="D445" s="124" t="s">
        <v>709</v>
      </c>
      <c r="E445" s="124" t="s">
        <v>913</v>
      </c>
      <c r="F445" s="135">
        <f>500</f>
        <v>500</v>
      </c>
      <c r="G445" s="135">
        <f>500-500</f>
        <v>0</v>
      </c>
      <c r="H445" s="135">
        <f>500-500</f>
        <v>0</v>
      </c>
      <c r="I445" s="121">
        <f t="shared" si="54"/>
        <v>0</v>
      </c>
      <c r="J445" s="121">
        <v>0</v>
      </c>
    </row>
    <row r="446" spans="1:10" ht="15.75">
      <c r="A446" s="144" t="s">
        <v>1065</v>
      </c>
      <c r="B446" s="146" t="s">
        <v>1625</v>
      </c>
      <c r="C446" s="156"/>
      <c r="D446" s="156"/>
      <c r="E446" s="156"/>
      <c r="F446" s="1">
        <f>F447+F494+F631+F636+F661</f>
        <v>2832988</v>
      </c>
      <c r="G446" s="1">
        <f>G447+G494+G631+G636+G661</f>
        <v>2892066.2999999993</v>
      </c>
      <c r="H446" s="1">
        <f>H447+H494+H631+H636+H661</f>
        <v>2820311.6999999997</v>
      </c>
      <c r="I446" s="121">
        <f t="shared" si="54"/>
        <v>99.5525466398022</v>
      </c>
      <c r="J446" s="121">
        <f t="shared" si="52"/>
        <v>97.51891580078923</v>
      </c>
    </row>
    <row r="447" spans="1:10" ht="15.75">
      <c r="A447" s="133" t="s">
        <v>1066</v>
      </c>
      <c r="B447" s="124" t="s">
        <v>1625</v>
      </c>
      <c r="C447" s="124" t="s">
        <v>1594</v>
      </c>
      <c r="D447" s="157"/>
      <c r="E447" s="157"/>
      <c r="F447" s="132">
        <f>F448+F485+F490</f>
        <v>1119599</v>
      </c>
      <c r="G447" s="132">
        <f>G448+G485+G490</f>
        <v>1082393.7</v>
      </c>
      <c r="H447" s="132">
        <f>H448+H485+H490</f>
        <v>1067062.6</v>
      </c>
      <c r="I447" s="121">
        <f t="shared" si="54"/>
        <v>95.30756994245262</v>
      </c>
      <c r="J447" s="121">
        <f t="shared" si="52"/>
        <v>98.58359301241315</v>
      </c>
    </row>
    <row r="448" spans="1:10" ht="46.5" customHeight="1">
      <c r="A448" s="141" t="s">
        <v>802</v>
      </c>
      <c r="B448" s="124" t="s">
        <v>1625</v>
      </c>
      <c r="C448" s="124" t="s">
        <v>1594</v>
      </c>
      <c r="D448" s="124" t="s">
        <v>1717</v>
      </c>
      <c r="E448" s="157"/>
      <c r="F448" s="132">
        <f>F449</f>
        <v>1119599</v>
      </c>
      <c r="G448" s="132">
        <f>G449</f>
        <v>1080593.7</v>
      </c>
      <c r="H448" s="132">
        <f>H449</f>
        <v>1065298.8</v>
      </c>
      <c r="I448" s="121">
        <f t="shared" si="54"/>
        <v>95.15003139516917</v>
      </c>
      <c r="J448" s="121">
        <f t="shared" si="52"/>
        <v>98.5845836413816</v>
      </c>
    </row>
    <row r="449" spans="1:10" ht="36">
      <c r="A449" s="134" t="s">
        <v>1443</v>
      </c>
      <c r="B449" s="124" t="s">
        <v>1625</v>
      </c>
      <c r="C449" s="124" t="s">
        <v>1594</v>
      </c>
      <c r="D449" s="124" t="s">
        <v>549</v>
      </c>
      <c r="E449" s="124"/>
      <c r="F449" s="132">
        <f>F451+F458+F464+F481+F459</f>
        <v>1119599</v>
      </c>
      <c r="G449" s="132">
        <f>G451+G458+G464+G481+G459</f>
        <v>1080593.7</v>
      </c>
      <c r="H449" s="132">
        <f>H451+H458+H464+H481+H459</f>
        <v>1065298.8</v>
      </c>
      <c r="I449" s="121">
        <f t="shared" si="54"/>
        <v>95.15003139516917</v>
      </c>
      <c r="J449" s="121">
        <f t="shared" si="52"/>
        <v>98.5845836413816</v>
      </c>
    </row>
    <row r="450" spans="1:10" ht="120">
      <c r="A450" s="158" t="s">
        <v>68</v>
      </c>
      <c r="B450" s="124" t="s">
        <v>1625</v>
      </c>
      <c r="C450" s="124" t="s">
        <v>1594</v>
      </c>
      <c r="D450" s="124" t="s">
        <v>1444</v>
      </c>
      <c r="E450" s="124"/>
      <c r="F450" s="132">
        <f>F451</f>
        <v>500744</v>
      </c>
      <c r="G450" s="132">
        <f>G451</f>
        <v>500744</v>
      </c>
      <c r="H450" s="132">
        <f>H451</f>
        <v>495232.3</v>
      </c>
      <c r="I450" s="121">
        <f t="shared" si="54"/>
        <v>98.89929784480692</v>
      </c>
      <c r="J450" s="121">
        <f t="shared" si="52"/>
        <v>98.89929784480692</v>
      </c>
    </row>
    <row r="451" spans="1:10" ht="36">
      <c r="A451" s="129" t="s">
        <v>752</v>
      </c>
      <c r="B451" s="124" t="s">
        <v>1625</v>
      </c>
      <c r="C451" s="124" t="s">
        <v>1594</v>
      </c>
      <c r="D451" s="124" t="s">
        <v>1444</v>
      </c>
      <c r="E451" s="124" t="s">
        <v>751</v>
      </c>
      <c r="F451" s="132">
        <f>F453+F454</f>
        <v>500744</v>
      </c>
      <c r="G451" s="132">
        <f>G452+G454</f>
        <v>500744</v>
      </c>
      <c r="H451" s="132">
        <f>H452+H454</f>
        <v>495232.3</v>
      </c>
      <c r="I451" s="121">
        <f t="shared" si="54"/>
        <v>98.89929784480692</v>
      </c>
      <c r="J451" s="121">
        <f t="shared" si="52"/>
        <v>98.89929784480692</v>
      </c>
    </row>
    <row r="452" spans="1:10" ht="15" hidden="1">
      <c r="A452" s="134" t="s">
        <v>1435</v>
      </c>
      <c r="B452" s="124" t="s">
        <v>1625</v>
      </c>
      <c r="C452" s="124" t="s">
        <v>1594</v>
      </c>
      <c r="D452" s="124" t="s">
        <v>1444</v>
      </c>
      <c r="E452" s="124" t="s">
        <v>1436</v>
      </c>
      <c r="F452" s="135">
        <f>31384-31384</f>
        <v>0</v>
      </c>
      <c r="G452" s="135">
        <f>31384-31384</f>
        <v>0</v>
      </c>
      <c r="H452" s="135">
        <f>31384-31384</f>
        <v>0</v>
      </c>
      <c r="I452" s="121" t="e">
        <f t="shared" si="54"/>
        <v>#DIV/0!</v>
      </c>
      <c r="J452" s="121" t="e">
        <f t="shared" si="52"/>
        <v>#DIV/0!</v>
      </c>
    </row>
    <row r="453" spans="1:10" ht="15.75">
      <c r="A453" s="134" t="s">
        <v>1212</v>
      </c>
      <c r="B453" s="124" t="s">
        <v>1625</v>
      </c>
      <c r="C453" s="124" t="s">
        <v>1594</v>
      </c>
      <c r="D453" s="124" t="s">
        <v>1444</v>
      </c>
      <c r="E453" s="124" t="s">
        <v>1436</v>
      </c>
      <c r="F453" s="135">
        <v>31384</v>
      </c>
      <c r="G453" s="135"/>
      <c r="H453" s="135"/>
      <c r="I453" s="121">
        <f t="shared" si="54"/>
        <v>0</v>
      </c>
      <c r="J453" s="121">
        <v>0</v>
      </c>
    </row>
    <row r="454" spans="1:10" ht="24">
      <c r="A454" s="134" t="s">
        <v>1687</v>
      </c>
      <c r="B454" s="124" t="s">
        <v>1625</v>
      </c>
      <c r="C454" s="124" t="s">
        <v>1594</v>
      </c>
      <c r="D454" s="124" t="s">
        <v>1444</v>
      </c>
      <c r="E454" s="124" t="s">
        <v>1502</v>
      </c>
      <c r="F454" s="135">
        <f>469360</f>
        <v>469360</v>
      </c>
      <c r="G454" s="135">
        <f>469360+31384</f>
        <v>500744</v>
      </c>
      <c r="H454" s="135">
        <v>495232.3</v>
      </c>
      <c r="I454" s="121">
        <f t="shared" si="54"/>
        <v>105.51225072439065</v>
      </c>
      <c r="J454" s="121">
        <f t="shared" si="52"/>
        <v>98.89929784480692</v>
      </c>
    </row>
    <row r="455" spans="1:10" ht="24">
      <c r="A455" s="134" t="s">
        <v>1657</v>
      </c>
      <c r="B455" s="124" t="s">
        <v>1625</v>
      </c>
      <c r="C455" s="124" t="s">
        <v>1594</v>
      </c>
      <c r="D455" s="124" t="s">
        <v>1444</v>
      </c>
      <c r="E455" s="124" t="s">
        <v>1502</v>
      </c>
      <c r="F455" s="135">
        <v>0</v>
      </c>
      <c r="G455" s="135">
        <f>1670.4+524.6+86.5+2.4</f>
        <v>2283.9</v>
      </c>
      <c r="H455" s="135">
        <v>2097.6</v>
      </c>
      <c r="I455" s="121">
        <v>0</v>
      </c>
      <c r="J455" s="121">
        <f t="shared" si="52"/>
        <v>91.8429003021148</v>
      </c>
    </row>
    <row r="456" spans="1:10" ht="108">
      <c r="A456" s="159" t="s">
        <v>1484</v>
      </c>
      <c r="B456" s="124" t="s">
        <v>1625</v>
      </c>
      <c r="C456" s="124" t="s">
        <v>1594</v>
      </c>
      <c r="D456" s="124" t="s">
        <v>1445</v>
      </c>
      <c r="E456" s="124"/>
      <c r="F456" s="132">
        <f aca="true" t="shared" si="60" ref="F456:H457">F457</f>
        <v>4553</v>
      </c>
      <c r="G456" s="132">
        <f t="shared" si="60"/>
        <v>4553</v>
      </c>
      <c r="H456" s="132">
        <f t="shared" si="60"/>
        <v>4553</v>
      </c>
      <c r="I456" s="121">
        <f t="shared" si="54"/>
        <v>100</v>
      </c>
      <c r="J456" s="121">
        <f t="shared" si="52"/>
        <v>100</v>
      </c>
    </row>
    <row r="457" spans="1:10" ht="36">
      <c r="A457" s="129" t="s">
        <v>752</v>
      </c>
      <c r="B457" s="124" t="s">
        <v>1625</v>
      </c>
      <c r="C457" s="124" t="s">
        <v>1594</v>
      </c>
      <c r="D457" s="124" t="s">
        <v>1445</v>
      </c>
      <c r="E457" s="124" t="s">
        <v>751</v>
      </c>
      <c r="F457" s="132">
        <f t="shared" si="60"/>
        <v>4553</v>
      </c>
      <c r="G457" s="132">
        <f t="shared" si="60"/>
        <v>4553</v>
      </c>
      <c r="H457" s="132">
        <f t="shared" si="60"/>
        <v>4553</v>
      </c>
      <c r="I457" s="121">
        <f t="shared" si="54"/>
        <v>100</v>
      </c>
      <c r="J457" s="121">
        <f t="shared" si="52"/>
        <v>100</v>
      </c>
    </row>
    <row r="458" spans="1:10" ht="36">
      <c r="A458" s="134" t="s">
        <v>689</v>
      </c>
      <c r="B458" s="124" t="s">
        <v>1625</v>
      </c>
      <c r="C458" s="124" t="s">
        <v>1594</v>
      </c>
      <c r="D458" s="124" t="s">
        <v>1445</v>
      </c>
      <c r="E458" s="124" t="s">
        <v>1409</v>
      </c>
      <c r="F458" s="135">
        <v>4553</v>
      </c>
      <c r="G458" s="135">
        <v>4553</v>
      </c>
      <c r="H458" s="135">
        <v>4553</v>
      </c>
      <c r="I458" s="121">
        <f t="shared" si="54"/>
        <v>100</v>
      </c>
      <c r="J458" s="121">
        <f t="shared" si="52"/>
        <v>100</v>
      </c>
    </row>
    <row r="459" spans="1:10" ht="72">
      <c r="A459" s="134" t="s">
        <v>1376</v>
      </c>
      <c r="B459" s="124" t="s">
        <v>1625</v>
      </c>
      <c r="C459" s="124" t="s">
        <v>1594</v>
      </c>
      <c r="D459" s="124" t="s">
        <v>1377</v>
      </c>
      <c r="E459" s="124"/>
      <c r="F459" s="132">
        <f aca="true" t="shared" si="61" ref="F459:H460">F460</f>
        <v>0</v>
      </c>
      <c r="G459" s="132">
        <f t="shared" si="61"/>
        <v>500</v>
      </c>
      <c r="H459" s="132">
        <f t="shared" si="61"/>
        <v>500</v>
      </c>
      <c r="I459" s="121">
        <v>0</v>
      </c>
      <c r="J459" s="121">
        <f t="shared" si="52"/>
        <v>100</v>
      </c>
    </row>
    <row r="460" spans="1:10" ht="36">
      <c r="A460" s="129" t="s">
        <v>752</v>
      </c>
      <c r="B460" s="124" t="s">
        <v>1625</v>
      </c>
      <c r="C460" s="124" t="s">
        <v>1594</v>
      </c>
      <c r="D460" s="124" t="s">
        <v>1377</v>
      </c>
      <c r="E460" s="124" t="s">
        <v>751</v>
      </c>
      <c r="F460" s="132">
        <f t="shared" si="61"/>
        <v>0</v>
      </c>
      <c r="G460" s="132">
        <f t="shared" si="61"/>
        <v>500</v>
      </c>
      <c r="H460" s="132">
        <f t="shared" si="61"/>
        <v>500</v>
      </c>
      <c r="I460" s="121">
        <v>0</v>
      </c>
      <c r="J460" s="121">
        <f t="shared" si="52"/>
        <v>100</v>
      </c>
    </row>
    <row r="461" spans="1:10" ht="15.75">
      <c r="A461" s="134" t="s">
        <v>1501</v>
      </c>
      <c r="B461" s="124" t="s">
        <v>1625</v>
      </c>
      <c r="C461" s="124" t="s">
        <v>1594</v>
      </c>
      <c r="D461" s="124" t="s">
        <v>1377</v>
      </c>
      <c r="E461" s="124" t="s">
        <v>1502</v>
      </c>
      <c r="F461" s="135"/>
      <c r="G461" s="135">
        <v>500</v>
      </c>
      <c r="H461" s="135">
        <v>500</v>
      </c>
      <c r="I461" s="121">
        <v>0</v>
      </c>
      <c r="J461" s="121">
        <f t="shared" si="52"/>
        <v>100</v>
      </c>
    </row>
    <row r="462" spans="1:10" ht="45" customHeight="1">
      <c r="A462" s="141" t="s">
        <v>802</v>
      </c>
      <c r="B462" s="124" t="s">
        <v>1625</v>
      </c>
      <c r="C462" s="124" t="s">
        <v>1594</v>
      </c>
      <c r="D462" s="124" t="s">
        <v>1717</v>
      </c>
      <c r="E462" s="157"/>
      <c r="F462" s="132">
        <f>F463</f>
        <v>335350</v>
      </c>
      <c r="G462" s="132">
        <f>G463</f>
        <v>295844.7</v>
      </c>
      <c r="H462" s="132">
        <f>H463</f>
        <v>286061.5</v>
      </c>
      <c r="I462" s="121">
        <f t="shared" si="54"/>
        <v>85.30237065752199</v>
      </c>
      <c r="J462" s="121">
        <f t="shared" si="52"/>
        <v>96.69312987523521</v>
      </c>
    </row>
    <row r="463" spans="1:10" ht="36">
      <c r="A463" s="134" t="s">
        <v>1443</v>
      </c>
      <c r="B463" s="124" t="s">
        <v>1625</v>
      </c>
      <c r="C463" s="124" t="s">
        <v>1594</v>
      </c>
      <c r="D463" s="124" t="s">
        <v>549</v>
      </c>
      <c r="E463" s="124"/>
      <c r="F463" s="132">
        <f>F466+F467</f>
        <v>335350</v>
      </c>
      <c r="G463" s="132">
        <f>G465+G467</f>
        <v>295844.7</v>
      </c>
      <c r="H463" s="132">
        <f>H465+H467</f>
        <v>286061.5</v>
      </c>
      <c r="I463" s="121">
        <f t="shared" si="54"/>
        <v>85.30237065752199</v>
      </c>
      <c r="J463" s="121">
        <f t="shared" si="52"/>
        <v>96.69312987523521</v>
      </c>
    </row>
    <row r="464" spans="1:10" ht="36">
      <c r="A464" s="129" t="s">
        <v>752</v>
      </c>
      <c r="B464" s="124" t="s">
        <v>1625</v>
      </c>
      <c r="C464" s="124" t="s">
        <v>1594</v>
      </c>
      <c r="D464" s="124" t="s">
        <v>1446</v>
      </c>
      <c r="E464" s="124" t="s">
        <v>751</v>
      </c>
      <c r="F464" s="132">
        <f>F466+F467</f>
        <v>335350</v>
      </c>
      <c r="G464" s="132">
        <f>G465+G467</f>
        <v>295844.7</v>
      </c>
      <c r="H464" s="132">
        <f>H465+H467</f>
        <v>286061.5</v>
      </c>
      <c r="I464" s="121">
        <f aca="true" t="shared" si="62" ref="I464:I527">H464/F464*100</f>
        <v>85.30237065752199</v>
      </c>
      <c r="J464" s="121">
        <f aca="true" t="shared" si="63" ref="J464:J527">H464/G464*100</f>
        <v>96.69312987523521</v>
      </c>
    </row>
    <row r="465" spans="1:10" ht="15" hidden="1">
      <c r="A465" s="134" t="s">
        <v>1435</v>
      </c>
      <c r="B465" s="124" t="s">
        <v>1625</v>
      </c>
      <c r="C465" s="124" t="s">
        <v>1594</v>
      </c>
      <c r="D465" s="124" t="s">
        <v>1446</v>
      </c>
      <c r="E465" s="124" t="s">
        <v>1436</v>
      </c>
      <c r="F465" s="135">
        <f>16686-16686</f>
        <v>0</v>
      </c>
      <c r="G465" s="135">
        <f>16686-16686</f>
        <v>0</v>
      </c>
      <c r="H465" s="135">
        <f>16686-16686</f>
        <v>0</v>
      </c>
      <c r="I465" s="121" t="e">
        <f t="shared" si="62"/>
        <v>#DIV/0!</v>
      </c>
      <c r="J465" s="121" t="e">
        <f t="shared" si="63"/>
        <v>#DIV/0!</v>
      </c>
    </row>
    <row r="466" spans="1:10" ht="15.75">
      <c r="A466" s="134" t="s">
        <v>1212</v>
      </c>
      <c r="B466" s="124" t="s">
        <v>1625</v>
      </c>
      <c r="C466" s="124" t="s">
        <v>1594</v>
      </c>
      <c r="D466" s="124" t="s">
        <v>1446</v>
      </c>
      <c r="E466" s="124" t="s">
        <v>1436</v>
      </c>
      <c r="F466" s="135">
        <v>16686</v>
      </c>
      <c r="G466" s="135"/>
      <c r="H466" s="135"/>
      <c r="I466" s="121">
        <f t="shared" si="62"/>
        <v>0</v>
      </c>
      <c r="J466" s="121">
        <v>0</v>
      </c>
    </row>
    <row r="467" spans="1:10" ht="24">
      <c r="A467" s="134" t="s">
        <v>1682</v>
      </c>
      <c r="B467" s="127" t="s">
        <v>1625</v>
      </c>
      <c r="C467" s="127" t="s">
        <v>1594</v>
      </c>
      <c r="D467" s="124" t="s">
        <v>1446</v>
      </c>
      <c r="E467" s="127" t="s">
        <v>1502</v>
      </c>
      <c r="F467" s="135">
        <f>318664</f>
        <v>318664</v>
      </c>
      <c r="G467" s="135">
        <f>318664+16686+G469+G470+G471-17096+G472+G473+G474+G476+G477+G478+G479+G480-9888-2500-32000-6000</f>
        <v>295844.7</v>
      </c>
      <c r="H467" s="135">
        <v>286061.5</v>
      </c>
      <c r="I467" s="121">
        <f t="shared" si="62"/>
        <v>89.76900434313258</v>
      </c>
      <c r="J467" s="121">
        <f t="shared" si="63"/>
        <v>96.69312987523521</v>
      </c>
    </row>
    <row r="468" spans="1:10" ht="108">
      <c r="A468" s="134" t="s">
        <v>1378</v>
      </c>
      <c r="B468" s="127" t="s">
        <v>1625</v>
      </c>
      <c r="C468" s="127" t="s">
        <v>1594</v>
      </c>
      <c r="D468" s="124" t="s">
        <v>1446</v>
      </c>
      <c r="E468" s="127" t="s">
        <v>1502</v>
      </c>
      <c r="F468" s="135">
        <v>0</v>
      </c>
      <c r="G468" s="135">
        <f>223-167.4</f>
        <v>55.599999999999994</v>
      </c>
      <c r="H468" s="135">
        <f>223-167.4</f>
        <v>55.599999999999994</v>
      </c>
      <c r="I468" s="121">
        <v>0</v>
      </c>
      <c r="J468" s="121">
        <f t="shared" si="63"/>
        <v>100</v>
      </c>
    </row>
    <row r="469" spans="1:10" ht="36">
      <c r="A469" s="134" t="s">
        <v>47</v>
      </c>
      <c r="B469" s="127" t="s">
        <v>1625</v>
      </c>
      <c r="C469" s="127" t="s">
        <v>1594</v>
      </c>
      <c r="D469" s="124" t="s">
        <v>1446</v>
      </c>
      <c r="E469" s="127" t="s">
        <v>1502</v>
      </c>
      <c r="F469" s="135">
        <v>0</v>
      </c>
      <c r="G469" s="135">
        <v>520</v>
      </c>
      <c r="H469" s="135">
        <v>519.5</v>
      </c>
      <c r="I469" s="121">
        <v>0</v>
      </c>
      <c r="J469" s="121">
        <f t="shared" si="63"/>
        <v>99.90384615384616</v>
      </c>
    </row>
    <row r="470" spans="1:10" ht="36">
      <c r="A470" s="134" t="s">
        <v>899</v>
      </c>
      <c r="B470" s="127" t="s">
        <v>1625</v>
      </c>
      <c r="C470" s="127" t="s">
        <v>1594</v>
      </c>
      <c r="D470" s="124" t="s">
        <v>1446</v>
      </c>
      <c r="E470" s="127" t="s">
        <v>1502</v>
      </c>
      <c r="F470" s="135">
        <v>0</v>
      </c>
      <c r="G470" s="135">
        <v>9563</v>
      </c>
      <c r="H470" s="135">
        <v>9563</v>
      </c>
      <c r="I470" s="121">
        <v>0</v>
      </c>
      <c r="J470" s="121">
        <f t="shared" si="63"/>
        <v>100</v>
      </c>
    </row>
    <row r="471" spans="1:10" ht="36">
      <c r="A471" s="134" t="s">
        <v>900</v>
      </c>
      <c r="B471" s="127" t="s">
        <v>1625</v>
      </c>
      <c r="C471" s="127" t="s">
        <v>1594</v>
      </c>
      <c r="D471" s="124" t="s">
        <v>1446</v>
      </c>
      <c r="E471" s="127" t="s">
        <v>1502</v>
      </c>
      <c r="F471" s="135">
        <v>0</v>
      </c>
      <c r="G471" s="135">
        <v>5226</v>
      </c>
      <c r="H471" s="135">
        <v>5226</v>
      </c>
      <c r="I471" s="121">
        <v>0</v>
      </c>
      <c r="J471" s="121">
        <f t="shared" si="63"/>
        <v>100</v>
      </c>
    </row>
    <row r="472" spans="1:10" ht="24">
      <c r="A472" s="134" t="s">
        <v>1658</v>
      </c>
      <c r="B472" s="127" t="s">
        <v>1625</v>
      </c>
      <c r="C472" s="127" t="s">
        <v>1594</v>
      </c>
      <c r="D472" s="124" t="s">
        <v>1446</v>
      </c>
      <c r="E472" s="127" t="s">
        <v>1502</v>
      </c>
      <c r="F472" s="135">
        <v>0</v>
      </c>
      <c r="G472" s="135">
        <v>2700</v>
      </c>
      <c r="H472" s="135">
        <v>2672.4</v>
      </c>
      <c r="I472" s="121">
        <v>0</v>
      </c>
      <c r="J472" s="121">
        <f t="shared" si="63"/>
        <v>98.97777777777777</v>
      </c>
    </row>
    <row r="473" spans="1:10" ht="36">
      <c r="A473" s="134" t="s">
        <v>1379</v>
      </c>
      <c r="B473" s="127" t="s">
        <v>1625</v>
      </c>
      <c r="C473" s="127" t="s">
        <v>1594</v>
      </c>
      <c r="D473" s="124" t="s">
        <v>1446</v>
      </c>
      <c r="E473" s="127" t="s">
        <v>1502</v>
      </c>
      <c r="F473" s="135">
        <v>0</v>
      </c>
      <c r="G473" s="135">
        <v>4670.9</v>
      </c>
      <c r="H473" s="135">
        <v>4670.8</v>
      </c>
      <c r="I473" s="121">
        <v>0</v>
      </c>
      <c r="J473" s="121">
        <f t="shared" si="63"/>
        <v>99.99785908497293</v>
      </c>
    </row>
    <row r="474" spans="1:10" ht="72">
      <c r="A474" s="134" t="s">
        <v>1380</v>
      </c>
      <c r="B474" s="127" t="s">
        <v>1625</v>
      </c>
      <c r="C474" s="127" t="s">
        <v>1594</v>
      </c>
      <c r="D474" s="124" t="s">
        <v>1446</v>
      </c>
      <c r="E474" s="127" t="s">
        <v>1502</v>
      </c>
      <c r="F474" s="135">
        <v>0</v>
      </c>
      <c r="G474" s="135">
        <v>18.8</v>
      </c>
      <c r="H474" s="135">
        <v>18.8</v>
      </c>
      <c r="I474" s="121">
        <v>0</v>
      </c>
      <c r="J474" s="121">
        <f t="shared" si="63"/>
        <v>100</v>
      </c>
    </row>
    <row r="475" spans="1:10" ht="36">
      <c r="A475" s="134" t="s">
        <v>1659</v>
      </c>
      <c r="B475" s="127" t="s">
        <v>1625</v>
      </c>
      <c r="C475" s="127" t="s">
        <v>1594</v>
      </c>
      <c r="D475" s="124" t="s">
        <v>1446</v>
      </c>
      <c r="E475" s="127" t="s">
        <v>1502</v>
      </c>
      <c r="F475" s="135">
        <v>0</v>
      </c>
      <c r="G475" s="135">
        <v>167.4</v>
      </c>
      <c r="H475" s="135">
        <v>0</v>
      </c>
      <c r="I475" s="121">
        <v>0</v>
      </c>
      <c r="J475" s="121">
        <f t="shared" si="63"/>
        <v>0</v>
      </c>
    </row>
    <row r="476" spans="1:10" ht="36">
      <c r="A476" s="134" t="s">
        <v>1660</v>
      </c>
      <c r="B476" s="127" t="s">
        <v>1625</v>
      </c>
      <c r="C476" s="127" t="s">
        <v>1594</v>
      </c>
      <c r="D476" s="124" t="s">
        <v>1446</v>
      </c>
      <c r="E476" s="127" t="s">
        <v>1502</v>
      </c>
      <c r="F476" s="135">
        <v>0</v>
      </c>
      <c r="G476" s="135">
        <v>830</v>
      </c>
      <c r="H476" s="135">
        <v>827.2</v>
      </c>
      <c r="I476" s="121">
        <v>0</v>
      </c>
      <c r="J476" s="121">
        <f t="shared" si="63"/>
        <v>99.66265060240964</v>
      </c>
    </row>
    <row r="477" spans="1:10" ht="24">
      <c r="A477" s="134" t="s">
        <v>1661</v>
      </c>
      <c r="B477" s="127" t="s">
        <v>1625</v>
      </c>
      <c r="C477" s="127" t="s">
        <v>1594</v>
      </c>
      <c r="D477" s="124" t="s">
        <v>1446</v>
      </c>
      <c r="E477" s="127" t="s">
        <v>1502</v>
      </c>
      <c r="F477" s="135">
        <v>0</v>
      </c>
      <c r="G477" s="135">
        <v>600</v>
      </c>
      <c r="H477" s="135">
        <v>598.9</v>
      </c>
      <c r="I477" s="121">
        <v>0</v>
      </c>
      <c r="J477" s="121">
        <f t="shared" si="63"/>
        <v>99.81666666666666</v>
      </c>
    </row>
    <row r="478" spans="1:10" ht="24">
      <c r="A478" s="134" t="s">
        <v>1662</v>
      </c>
      <c r="B478" s="127" t="s">
        <v>1625</v>
      </c>
      <c r="C478" s="127" t="s">
        <v>1594</v>
      </c>
      <c r="D478" s="124" t="s">
        <v>1446</v>
      </c>
      <c r="E478" s="127" t="s">
        <v>1502</v>
      </c>
      <c r="F478" s="135">
        <v>0</v>
      </c>
      <c r="G478" s="135">
        <v>2500</v>
      </c>
      <c r="H478" s="135">
        <v>2475</v>
      </c>
      <c r="I478" s="121">
        <v>0</v>
      </c>
      <c r="J478" s="121">
        <f t="shared" si="63"/>
        <v>99</v>
      </c>
    </row>
    <row r="479" spans="1:10" ht="36">
      <c r="A479" s="134" t="s">
        <v>1663</v>
      </c>
      <c r="B479" s="127" t="s">
        <v>1625</v>
      </c>
      <c r="C479" s="127" t="s">
        <v>1594</v>
      </c>
      <c r="D479" s="124" t="s">
        <v>1446</v>
      </c>
      <c r="E479" s="127" t="s">
        <v>1502</v>
      </c>
      <c r="F479" s="135">
        <v>0</v>
      </c>
      <c r="G479" s="135">
        <v>1000</v>
      </c>
      <c r="H479" s="135">
        <v>1000</v>
      </c>
      <c r="I479" s="121">
        <v>0</v>
      </c>
      <c r="J479" s="121">
        <f t="shared" si="63"/>
        <v>100</v>
      </c>
    </row>
    <row r="480" spans="1:10" ht="36">
      <c r="A480" s="134" t="s">
        <v>1664</v>
      </c>
      <c r="B480" s="127" t="s">
        <v>1625</v>
      </c>
      <c r="C480" s="127" t="s">
        <v>1594</v>
      </c>
      <c r="D480" s="124" t="s">
        <v>1446</v>
      </c>
      <c r="E480" s="127" t="s">
        <v>1502</v>
      </c>
      <c r="F480" s="135">
        <v>0</v>
      </c>
      <c r="G480" s="135">
        <v>350</v>
      </c>
      <c r="H480" s="135">
        <v>349.2</v>
      </c>
      <c r="I480" s="121">
        <v>0</v>
      </c>
      <c r="J480" s="121">
        <f t="shared" si="63"/>
        <v>99.77142857142857</v>
      </c>
    </row>
    <row r="481" spans="1:10" ht="36">
      <c r="A481" s="129" t="s">
        <v>592</v>
      </c>
      <c r="B481" s="127" t="s">
        <v>1625</v>
      </c>
      <c r="C481" s="127" t="s">
        <v>1594</v>
      </c>
      <c r="D481" s="124" t="s">
        <v>1446</v>
      </c>
      <c r="E481" s="127" t="s">
        <v>107</v>
      </c>
      <c r="F481" s="132">
        <f>F482</f>
        <v>278952</v>
      </c>
      <c r="G481" s="132">
        <f>G482</f>
        <v>278952</v>
      </c>
      <c r="H481" s="132">
        <f>H482</f>
        <v>278952</v>
      </c>
      <c r="I481" s="121">
        <f t="shared" si="62"/>
        <v>100</v>
      </c>
      <c r="J481" s="121">
        <f t="shared" si="63"/>
        <v>100</v>
      </c>
    </row>
    <row r="482" spans="1:10" ht="60">
      <c r="A482" s="129" t="s">
        <v>387</v>
      </c>
      <c r="B482" s="127" t="s">
        <v>1625</v>
      </c>
      <c r="C482" s="127" t="s">
        <v>1594</v>
      </c>
      <c r="D482" s="124" t="s">
        <v>1446</v>
      </c>
      <c r="E482" s="127" t="s">
        <v>2</v>
      </c>
      <c r="F482" s="132">
        <f>F483+F484</f>
        <v>278952</v>
      </c>
      <c r="G482" s="132">
        <f>G483+G484</f>
        <v>278952</v>
      </c>
      <c r="H482" s="132">
        <f>H483+H484</f>
        <v>278952</v>
      </c>
      <c r="I482" s="121">
        <f t="shared" si="62"/>
        <v>100</v>
      </c>
      <c r="J482" s="121">
        <f t="shared" si="63"/>
        <v>100</v>
      </c>
    </row>
    <row r="483" spans="1:10" ht="36">
      <c r="A483" s="129" t="s">
        <v>1067</v>
      </c>
      <c r="B483" s="127" t="s">
        <v>1625</v>
      </c>
      <c r="C483" s="127" t="s">
        <v>1594</v>
      </c>
      <c r="D483" s="124" t="s">
        <v>1446</v>
      </c>
      <c r="E483" s="127" t="s">
        <v>2</v>
      </c>
      <c r="F483" s="135">
        <f>149000+2250</f>
        <v>151250</v>
      </c>
      <c r="G483" s="135">
        <f>149000+2250</f>
        <v>151250</v>
      </c>
      <c r="H483" s="135">
        <f>149000+2250</f>
        <v>151250</v>
      </c>
      <c r="I483" s="121">
        <f t="shared" si="62"/>
        <v>100</v>
      </c>
      <c r="J483" s="121">
        <f t="shared" si="63"/>
        <v>100</v>
      </c>
    </row>
    <row r="484" spans="1:10" ht="36">
      <c r="A484" s="129" t="s">
        <v>1068</v>
      </c>
      <c r="B484" s="127" t="s">
        <v>1625</v>
      </c>
      <c r="C484" s="127" t="s">
        <v>1594</v>
      </c>
      <c r="D484" s="124" t="s">
        <v>1446</v>
      </c>
      <c r="E484" s="127" t="s">
        <v>2</v>
      </c>
      <c r="F484" s="135">
        <f>125800+1902</f>
        <v>127702</v>
      </c>
      <c r="G484" s="135">
        <f>125800+1902</f>
        <v>127702</v>
      </c>
      <c r="H484" s="135">
        <f>125800+1902</f>
        <v>127702</v>
      </c>
      <c r="I484" s="121">
        <f t="shared" si="62"/>
        <v>100</v>
      </c>
      <c r="J484" s="121">
        <f t="shared" si="63"/>
        <v>100</v>
      </c>
    </row>
    <row r="485" spans="1:10" ht="36">
      <c r="A485" s="137" t="s">
        <v>1455</v>
      </c>
      <c r="B485" s="127" t="s">
        <v>1625</v>
      </c>
      <c r="C485" s="127" t="s">
        <v>1594</v>
      </c>
      <c r="D485" s="124" t="s">
        <v>1241</v>
      </c>
      <c r="E485" s="127"/>
      <c r="F485" s="132">
        <f aca="true" t="shared" si="64" ref="F485:H488">F486</f>
        <v>0</v>
      </c>
      <c r="G485" s="132">
        <f t="shared" si="64"/>
        <v>1500</v>
      </c>
      <c r="H485" s="132">
        <f t="shared" si="64"/>
        <v>1463.8</v>
      </c>
      <c r="I485" s="121">
        <v>0</v>
      </c>
      <c r="J485" s="121">
        <f t="shared" si="63"/>
        <v>97.58666666666667</v>
      </c>
    </row>
    <row r="486" spans="1:10" ht="48">
      <c r="A486" s="129" t="s">
        <v>1457</v>
      </c>
      <c r="B486" s="127" t="s">
        <v>1625</v>
      </c>
      <c r="C486" s="127" t="s">
        <v>1594</v>
      </c>
      <c r="D486" s="124" t="s">
        <v>1240</v>
      </c>
      <c r="E486" s="127"/>
      <c r="F486" s="132">
        <f t="shared" si="64"/>
        <v>0</v>
      </c>
      <c r="G486" s="132">
        <f t="shared" si="64"/>
        <v>1500</v>
      </c>
      <c r="H486" s="132">
        <f t="shared" si="64"/>
        <v>1463.8</v>
      </c>
      <c r="I486" s="121">
        <v>0</v>
      </c>
      <c r="J486" s="121">
        <f t="shared" si="63"/>
        <v>97.58666666666667</v>
      </c>
    </row>
    <row r="487" spans="1:10" ht="36">
      <c r="A487" s="129" t="s">
        <v>752</v>
      </c>
      <c r="B487" s="127" t="s">
        <v>1625</v>
      </c>
      <c r="C487" s="127" t="s">
        <v>1594</v>
      </c>
      <c r="D487" s="124" t="s">
        <v>1251</v>
      </c>
      <c r="E487" s="127" t="s">
        <v>751</v>
      </c>
      <c r="F487" s="132">
        <f t="shared" si="64"/>
        <v>0</v>
      </c>
      <c r="G487" s="132">
        <f t="shared" si="64"/>
        <v>1500</v>
      </c>
      <c r="H487" s="132">
        <f t="shared" si="64"/>
        <v>1463.8</v>
      </c>
      <c r="I487" s="121">
        <v>0</v>
      </c>
      <c r="J487" s="121">
        <f t="shared" si="63"/>
        <v>97.58666666666667</v>
      </c>
    </row>
    <row r="488" spans="1:10" ht="24">
      <c r="A488" s="134" t="s">
        <v>753</v>
      </c>
      <c r="B488" s="127" t="s">
        <v>1625</v>
      </c>
      <c r="C488" s="127" t="s">
        <v>1594</v>
      </c>
      <c r="D488" s="124" t="s">
        <v>1251</v>
      </c>
      <c r="E488" s="127" t="s">
        <v>1436</v>
      </c>
      <c r="F488" s="132">
        <f t="shared" si="64"/>
        <v>0</v>
      </c>
      <c r="G488" s="132">
        <f t="shared" si="64"/>
        <v>1500</v>
      </c>
      <c r="H488" s="132">
        <f t="shared" si="64"/>
        <v>1463.8</v>
      </c>
      <c r="I488" s="121">
        <v>0</v>
      </c>
      <c r="J488" s="121">
        <f t="shared" si="63"/>
        <v>97.58666666666667</v>
      </c>
    </row>
    <row r="489" spans="1:10" ht="36">
      <c r="A489" s="134" t="s">
        <v>665</v>
      </c>
      <c r="B489" s="127" t="s">
        <v>1625</v>
      </c>
      <c r="C489" s="127" t="s">
        <v>1594</v>
      </c>
      <c r="D489" s="124" t="s">
        <v>1251</v>
      </c>
      <c r="E489" s="127" t="s">
        <v>1436</v>
      </c>
      <c r="F489" s="135">
        <v>0</v>
      </c>
      <c r="G489" s="135">
        <v>1500</v>
      </c>
      <c r="H489" s="135">
        <v>1463.8</v>
      </c>
      <c r="I489" s="121">
        <v>0</v>
      </c>
      <c r="J489" s="121">
        <f t="shared" si="63"/>
        <v>97.58666666666667</v>
      </c>
    </row>
    <row r="490" spans="1:10" ht="36">
      <c r="A490" s="130" t="s">
        <v>1052</v>
      </c>
      <c r="B490" s="127" t="s">
        <v>1625</v>
      </c>
      <c r="C490" s="127" t="s">
        <v>1594</v>
      </c>
      <c r="D490" s="124" t="s">
        <v>1053</v>
      </c>
      <c r="E490" s="127"/>
      <c r="F490" s="132">
        <f aca="true" t="shared" si="65" ref="F490:H492">F491</f>
        <v>0</v>
      </c>
      <c r="G490" s="132">
        <f t="shared" si="65"/>
        <v>300</v>
      </c>
      <c r="H490" s="132">
        <f t="shared" si="65"/>
        <v>300</v>
      </c>
      <c r="I490" s="121">
        <v>0</v>
      </c>
      <c r="J490" s="121">
        <f t="shared" si="63"/>
        <v>100</v>
      </c>
    </row>
    <row r="491" spans="1:10" ht="36">
      <c r="A491" s="129" t="s">
        <v>752</v>
      </c>
      <c r="B491" s="127" t="s">
        <v>1625</v>
      </c>
      <c r="C491" s="127" t="s">
        <v>1594</v>
      </c>
      <c r="D491" s="124" t="s">
        <v>1053</v>
      </c>
      <c r="E491" s="127" t="s">
        <v>751</v>
      </c>
      <c r="F491" s="132">
        <f t="shared" si="65"/>
        <v>0</v>
      </c>
      <c r="G491" s="132">
        <f t="shared" si="65"/>
        <v>300</v>
      </c>
      <c r="H491" s="132">
        <f t="shared" si="65"/>
        <v>300</v>
      </c>
      <c r="I491" s="121">
        <v>0</v>
      </c>
      <c r="J491" s="121">
        <f t="shared" si="63"/>
        <v>100</v>
      </c>
    </row>
    <row r="492" spans="1:10" ht="24">
      <c r="A492" s="134" t="s">
        <v>1682</v>
      </c>
      <c r="B492" s="127" t="s">
        <v>1625</v>
      </c>
      <c r="C492" s="127" t="s">
        <v>1594</v>
      </c>
      <c r="D492" s="124" t="s">
        <v>1053</v>
      </c>
      <c r="E492" s="127" t="s">
        <v>1502</v>
      </c>
      <c r="F492" s="132">
        <f t="shared" si="65"/>
        <v>0</v>
      </c>
      <c r="G492" s="132">
        <f t="shared" si="65"/>
        <v>300</v>
      </c>
      <c r="H492" s="132">
        <f t="shared" si="65"/>
        <v>300</v>
      </c>
      <c r="I492" s="121">
        <v>0</v>
      </c>
      <c r="J492" s="121">
        <f t="shared" si="63"/>
        <v>100</v>
      </c>
    </row>
    <row r="493" spans="1:10" ht="36">
      <c r="A493" s="134" t="s">
        <v>901</v>
      </c>
      <c r="B493" s="127" t="s">
        <v>1625</v>
      </c>
      <c r="C493" s="127" t="s">
        <v>1594</v>
      </c>
      <c r="D493" s="124" t="s">
        <v>1053</v>
      </c>
      <c r="E493" s="127" t="s">
        <v>1502</v>
      </c>
      <c r="F493" s="135">
        <v>0</v>
      </c>
      <c r="G493" s="135">
        <f>100+200</f>
        <v>300</v>
      </c>
      <c r="H493" s="135">
        <f>100+200</f>
        <v>300</v>
      </c>
      <c r="I493" s="121">
        <v>0</v>
      </c>
      <c r="J493" s="121">
        <f t="shared" si="63"/>
        <v>100</v>
      </c>
    </row>
    <row r="494" spans="1:10" ht="15.75">
      <c r="A494" s="133" t="s">
        <v>1283</v>
      </c>
      <c r="B494" s="124" t="s">
        <v>1625</v>
      </c>
      <c r="C494" s="124" t="s">
        <v>852</v>
      </c>
      <c r="D494" s="124"/>
      <c r="E494" s="124"/>
      <c r="F494" s="132">
        <f>F499+F503+F614+F622</f>
        <v>1547295</v>
      </c>
      <c r="G494" s="132">
        <f>G495+G503+G614+G622</f>
        <v>1629294.6999999995</v>
      </c>
      <c r="H494" s="132">
        <f>H495+H503+H614+H622</f>
        <v>1578163.2999999998</v>
      </c>
      <c r="I494" s="121">
        <f t="shared" si="62"/>
        <v>101.99498479604729</v>
      </c>
      <c r="J494" s="121">
        <f t="shared" si="63"/>
        <v>96.8617463740599</v>
      </c>
    </row>
    <row r="495" spans="1:10" ht="36" hidden="1">
      <c r="A495" s="160" t="s">
        <v>1451</v>
      </c>
      <c r="B495" s="124" t="s">
        <v>1625</v>
      </c>
      <c r="C495" s="124" t="s">
        <v>852</v>
      </c>
      <c r="D495" s="124" t="s">
        <v>14</v>
      </c>
      <c r="E495" s="124"/>
      <c r="F495" s="132">
        <f aca="true" t="shared" si="66" ref="F495:H497">F496</f>
        <v>0</v>
      </c>
      <c r="G495" s="132">
        <f t="shared" si="66"/>
        <v>0</v>
      </c>
      <c r="H495" s="132">
        <f t="shared" si="66"/>
        <v>0</v>
      </c>
      <c r="I495" s="121" t="e">
        <f t="shared" si="62"/>
        <v>#DIV/0!</v>
      </c>
      <c r="J495" s="121" t="e">
        <f t="shared" si="63"/>
        <v>#DIV/0!</v>
      </c>
    </row>
    <row r="496" spans="1:10" ht="48" hidden="1">
      <c r="A496" s="161" t="s">
        <v>1688</v>
      </c>
      <c r="B496" s="124" t="s">
        <v>1625</v>
      </c>
      <c r="C496" s="124" t="s">
        <v>852</v>
      </c>
      <c r="D496" s="124" t="s">
        <v>498</v>
      </c>
      <c r="E496" s="124"/>
      <c r="F496" s="132">
        <f t="shared" si="66"/>
        <v>0</v>
      </c>
      <c r="G496" s="132">
        <f t="shared" si="66"/>
        <v>0</v>
      </c>
      <c r="H496" s="132">
        <f t="shared" si="66"/>
        <v>0</v>
      </c>
      <c r="I496" s="121" t="e">
        <f t="shared" si="62"/>
        <v>#DIV/0!</v>
      </c>
      <c r="J496" s="121" t="e">
        <f t="shared" si="63"/>
        <v>#DIV/0!</v>
      </c>
    </row>
    <row r="497" spans="1:10" ht="36" hidden="1">
      <c r="A497" s="129" t="s">
        <v>752</v>
      </c>
      <c r="B497" s="124" t="s">
        <v>1625</v>
      </c>
      <c r="C497" s="124" t="s">
        <v>852</v>
      </c>
      <c r="D497" s="124" t="s">
        <v>1689</v>
      </c>
      <c r="E497" s="124" t="s">
        <v>751</v>
      </c>
      <c r="F497" s="132">
        <f t="shared" si="66"/>
        <v>0</v>
      </c>
      <c r="G497" s="132">
        <f t="shared" si="66"/>
        <v>0</v>
      </c>
      <c r="H497" s="132">
        <f t="shared" si="66"/>
        <v>0</v>
      </c>
      <c r="I497" s="121" t="e">
        <f t="shared" si="62"/>
        <v>#DIV/0!</v>
      </c>
      <c r="J497" s="121" t="e">
        <f t="shared" si="63"/>
        <v>#DIV/0!</v>
      </c>
    </row>
    <row r="498" spans="1:10" ht="15" hidden="1">
      <c r="A498" s="134" t="s">
        <v>1435</v>
      </c>
      <c r="B498" s="124" t="s">
        <v>1625</v>
      </c>
      <c r="C498" s="124" t="s">
        <v>852</v>
      </c>
      <c r="D498" s="124" t="s">
        <v>1689</v>
      </c>
      <c r="E498" s="124" t="s">
        <v>1436</v>
      </c>
      <c r="F498" s="135">
        <f>132618-132618</f>
        <v>0</v>
      </c>
      <c r="G498" s="135">
        <f>132618-132618</f>
        <v>0</v>
      </c>
      <c r="H498" s="135">
        <f>132618-132618</f>
        <v>0</v>
      </c>
      <c r="I498" s="121" t="e">
        <f t="shared" si="62"/>
        <v>#DIV/0!</v>
      </c>
      <c r="J498" s="121" t="e">
        <f t="shared" si="63"/>
        <v>#DIV/0!</v>
      </c>
    </row>
    <row r="499" spans="1:10" ht="36">
      <c r="A499" s="160" t="s">
        <v>1451</v>
      </c>
      <c r="B499" s="124" t="s">
        <v>1625</v>
      </c>
      <c r="C499" s="124" t="s">
        <v>852</v>
      </c>
      <c r="D499" s="124" t="s">
        <v>14</v>
      </c>
      <c r="E499" s="124"/>
      <c r="F499" s="132">
        <f>F500</f>
        <v>132618</v>
      </c>
      <c r="G499" s="135">
        <v>0</v>
      </c>
      <c r="H499" s="135">
        <v>0</v>
      </c>
      <c r="I499" s="121">
        <f t="shared" si="62"/>
        <v>0</v>
      </c>
      <c r="J499" s="121">
        <v>0</v>
      </c>
    </row>
    <row r="500" spans="1:10" ht="48">
      <c r="A500" s="161" t="s">
        <v>1688</v>
      </c>
      <c r="B500" s="124" t="s">
        <v>1625</v>
      </c>
      <c r="C500" s="124" t="s">
        <v>852</v>
      </c>
      <c r="D500" s="124" t="s">
        <v>498</v>
      </c>
      <c r="E500" s="124"/>
      <c r="F500" s="132">
        <f>F501</f>
        <v>132618</v>
      </c>
      <c r="G500" s="135">
        <v>0</v>
      </c>
      <c r="H500" s="135">
        <v>0</v>
      </c>
      <c r="I500" s="121">
        <f t="shared" si="62"/>
        <v>0</v>
      </c>
      <c r="J500" s="121">
        <v>0</v>
      </c>
    </row>
    <row r="501" spans="1:10" ht="36">
      <c r="A501" s="129" t="s">
        <v>752</v>
      </c>
      <c r="B501" s="124" t="s">
        <v>1625</v>
      </c>
      <c r="C501" s="124" t="s">
        <v>852</v>
      </c>
      <c r="D501" s="124" t="s">
        <v>1689</v>
      </c>
      <c r="E501" s="124" t="s">
        <v>751</v>
      </c>
      <c r="F501" s="132">
        <f>F502</f>
        <v>132618</v>
      </c>
      <c r="G501" s="135">
        <v>0</v>
      </c>
      <c r="H501" s="135">
        <v>0</v>
      </c>
      <c r="I501" s="121">
        <f t="shared" si="62"/>
        <v>0</v>
      </c>
      <c r="J501" s="121">
        <v>0</v>
      </c>
    </row>
    <row r="502" spans="1:10" ht="15.75">
      <c r="A502" s="134" t="s">
        <v>1435</v>
      </c>
      <c r="B502" s="124" t="s">
        <v>1625</v>
      </c>
      <c r="C502" s="124" t="s">
        <v>852</v>
      </c>
      <c r="D502" s="124" t="s">
        <v>1689</v>
      </c>
      <c r="E502" s="124" t="s">
        <v>1436</v>
      </c>
      <c r="F502" s="135">
        <v>132618</v>
      </c>
      <c r="G502" s="135">
        <v>0</v>
      </c>
      <c r="H502" s="135">
        <v>0</v>
      </c>
      <c r="I502" s="121">
        <f t="shared" si="62"/>
        <v>0</v>
      </c>
      <c r="J502" s="121">
        <v>0</v>
      </c>
    </row>
    <row r="503" spans="1:10" ht="40.5" customHeight="1">
      <c r="A503" s="141" t="s">
        <v>802</v>
      </c>
      <c r="B503" s="162" t="s">
        <v>1625</v>
      </c>
      <c r="C503" s="162" t="s">
        <v>852</v>
      </c>
      <c r="D503" s="163" t="s">
        <v>1717</v>
      </c>
      <c r="E503" s="124"/>
      <c r="F503" s="132">
        <f>F504+F593</f>
        <v>1414677</v>
      </c>
      <c r="G503" s="132">
        <f>G504+G593</f>
        <v>1625394.6999999995</v>
      </c>
      <c r="H503" s="132">
        <f>H504+H593</f>
        <v>1574571.4999999998</v>
      </c>
      <c r="I503" s="121">
        <f t="shared" si="62"/>
        <v>111.3025446798103</v>
      </c>
      <c r="J503" s="121">
        <f t="shared" si="63"/>
        <v>96.87317794256374</v>
      </c>
    </row>
    <row r="504" spans="1:10" ht="36">
      <c r="A504" s="151" t="s">
        <v>1253</v>
      </c>
      <c r="B504" s="162" t="s">
        <v>1625</v>
      </c>
      <c r="C504" s="162" t="s">
        <v>852</v>
      </c>
      <c r="D504" s="164" t="s">
        <v>591</v>
      </c>
      <c r="E504" s="124"/>
      <c r="F504" s="132">
        <f>F511+F517+F520+F524+F527+F530+F534+F540+F546+F549+F589+F537+F543+F508+F505</f>
        <v>1281787</v>
      </c>
      <c r="G504" s="132">
        <f>G511+G517+G520+G524+G527+G530+G534+G540+G546+G549+G589+G537+G543+G508+G505</f>
        <v>1373563.7999999996</v>
      </c>
      <c r="H504" s="132">
        <f>H511+H517+H520+H524+H527+H530+H534+H540+H546+H549+H589+H537+H543+H508+H505</f>
        <v>1328645.1999999997</v>
      </c>
      <c r="I504" s="121">
        <f t="shared" si="62"/>
        <v>103.65569318459305</v>
      </c>
      <c r="J504" s="121">
        <f t="shared" si="63"/>
        <v>96.72977694956725</v>
      </c>
    </row>
    <row r="505" spans="1:10" ht="36">
      <c r="A505" s="151" t="s">
        <v>1665</v>
      </c>
      <c r="B505" s="124" t="s">
        <v>1625</v>
      </c>
      <c r="C505" s="124" t="s">
        <v>852</v>
      </c>
      <c r="D505" s="124" t="s">
        <v>1666</v>
      </c>
      <c r="E505" s="124"/>
      <c r="F505" s="132">
        <f aca="true" t="shared" si="67" ref="F505:H506">F506</f>
        <v>0</v>
      </c>
      <c r="G505" s="132">
        <f t="shared" si="67"/>
        <v>3120.4</v>
      </c>
      <c r="H505" s="132">
        <f t="shared" si="67"/>
        <v>3120.4</v>
      </c>
      <c r="I505" s="121">
        <v>0</v>
      </c>
      <c r="J505" s="121">
        <f t="shared" si="63"/>
        <v>100</v>
      </c>
    </row>
    <row r="506" spans="1:10" ht="36">
      <c r="A506" s="129" t="s">
        <v>752</v>
      </c>
      <c r="B506" s="124" t="s">
        <v>1625</v>
      </c>
      <c r="C506" s="124" t="s">
        <v>852</v>
      </c>
      <c r="D506" s="124" t="s">
        <v>1666</v>
      </c>
      <c r="E506" s="124" t="s">
        <v>751</v>
      </c>
      <c r="F506" s="132">
        <f t="shared" si="67"/>
        <v>0</v>
      </c>
      <c r="G506" s="132">
        <f t="shared" si="67"/>
        <v>3120.4</v>
      </c>
      <c r="H506" s="132">
        <f t="shared" si="67"/>
        <v>3120.4</v>
      </c>
      <c r="I506" s="121">
        <v>0</v>
      </c>
      <c r="J506" s="121">
        <f t="shared" si="63"/>
        <v>100</v>
      </c>
    </row>
    <row r="507" spans="1:10" ht="15.75">
      <c r="A507" s="134" t="s">
        <v>996</v>
      </c>
      <c r="B507" s="124" t="s">
        <v>1625</v>
      </c>
      <c r="C507" s="124" t="s">
        <v>852</v>
      </c>
      <c r="D507" s="124" t="s">
        <v>1666</v>
      </c>
      <c r="E507" s="124" t="s">
        <v>1502</v>
      </c>
      <c r="F507" s="135">
        <v>0</v>
      </c>
      <c r="G507" s="135">
        <v>3120.4</v>
      </c>
      <c r="H507" s="135">
        <v>3120.4</v>
      </c>
      <c r="I507" s="121">
        <v>0</v>
      </c>
      <c r="J507" s="121">
        <f t="shared" si="63"/>
        <v>100</v>
      </c>
    </row>
    <row r="508" spans="1:10" ht="36">
      <c r="A508" s="134" t="s">
        <v>1667</v>
      </c>
      <c r="B508" s="124" t="s">
        <v>1625</v>
      </c>
      <c r="C508" s="124" t="s">
        <v>852</v>
      </c>
      <c r="D508" s="124" t="s">
        <v>1668</v>
      </c>
      <c r="E508" s="124"/>
      <c r="F508" s="132">
        <f aca="true" t="shared" si="68" ref="F508:H509">F509</f>
        <v>0</v>
      </c>
      <c r="G508" s="132">
        <f t="shared" si="68"/>
        <v>1258.7</v>
      </c>
      <c r="H508" s="132">
        <f t="shared" si="68"/>
        <v>1258.7</v>
      </c>
      <c r="I508" s="121">
        <v>0</v>
      </c>
      <c r="J508" s="121">
        <f t="shared" si="63"/>
        <v>100</v>
      </c>
    </row>
    <row r="509" spans="1:10" ht="36">
      <c r="A509" s="129" t="s">
        <v>752</v>
      </c>
      <c r="B509" s="124" t="s">
        <v>1625</v>
      </c>
      <c r="C509" s="124" t="s">
        <v>852</v>
      </c>
      <c r="D509" s="124" t="s">
        <v>1668</v>
      </c>
      <c r="E509" s="124" t="s">
        <v>751</v>
      </c>
      <c r="F509" s="132">
        <f t="shared" si="68"/>
        <v>0</v>
      </c>
      <c r="G509" s="132">
        <f t="shared" si="68"/>
        <v>1258.7</v>
      </c>
      <c r="H509" s="132">
        <f t="shared" si="68"/>
        <v>1258.7</v>
      </c>
      <c r="I509" s="121">
        <v>0</v>
      </c>
      <c r="J509" s="121">
        <f t="shared" si="63"/>
        <v>100</v>
      </c>
    </row>
    <row r="510" spans="1:10" ht="15.75">
      <c r="A510" s="134" t="s">
        <v>996</v>
      </c>
      <c r="B510" s="124" t="s">
        <v>1625</v>
      </c>
      <c r="C510" s="124" t="s">
        <v>852</v>
      </c>
      <c r="D510" s="124" t="s">
        <v>1668</v>
      </c>
      <c r="E510" s="124" t="s">
        <v>1502</v>
      </c>
      <c r="F510" s="135">
        <v>0</v>
      </c>
      <c r="G510" s="135">
        <v>1258.7</v>
      </c>
      <c r="H510" s="135">
        <v>1258.7</v>
      </c>
      <c r="I510" s="121">
        <v>0</v>
      </c>
      <c r="J510" s="121">
        <f t="shared" si="63"/>
        <v>100</v>
      </c>
    </row>
    <row r="511" spans="1:10" ht="144">
      <c r="A511" s="129" t="s">
        <v>448</v>
      </c>
      <c r="B511" s="124" t="s">
        <v>1625</v>
      </c>
      <c r="C511" s="124" t="s">
        <v>852</v>
      </c>
      <c r="D511" s="164" t="s">
        <v>1447</v>
      </c>
      <c r="E511" s="124"/>
      <c r="F511" s="132">
        <f>F512</f>
        <v>1001260</v>
      </c>
      <c r="G511" s="132">
        <f>G512</f>
        <v>1032920</v>
      </c>
      <c r="H511" s="132">
        <f>H512</f>
        <v>998001.2999999999</v>
      </c>
      <c r="I511" s="121">
        <f t="shared" si="62"/>
        <v>99.67454007949982</v>
      </c>
      <c r="J511" s="121">
        <f t="shared" si="63"/>
        <v>96.61941873523602</v>
      </c>
    </row>
    <row r="512" spans="1:10" ht="36">
      <c r="A512" s="129" t="s">
        <v>752</v>
      </c>
      <c r="B512" s="124" t="s">
        <v>1625</v>
      </c>
      <c r="C512" s="124" t="s">
        <v>852</v>
      </c>
      <c r="D512" s="164" t="s">
        <v>1447</v>
      </c>
      <c r="E512" s="124" t="s">
        <v>751</v>
      </c>
      <c r="F512" s="132">
        <f>F513+F515</f>
        <v>1001260</v>
      </c>
      <c r="G512" s="132">
        <f>G513+G515</f>
        <v>1032920</v>
      </c>
      <c r="H512" s="132">
        <f>H513+H515</f>
        <v>998001.2999999999</v>
      </c>
      <c r="I512" s="121">
        <f t="shared" si="62"/>
        <v>99.67454007949982</v>
      </c>
      <c r="J512" s="121">
        <f t="shared" si="63"/>
        <v>96.61941873523602</v>
      </c>
    </row>
    <row r="513" spans="1:10" ht="24">
      <c r="A513" s="134" t="s">
        <v>753</v>
      </c>
      <c r="B513" s="124" t="s">
        <v>1625</v>
      </c>
      <c r="C513" s="124" t="s">
        <v>852</v>
      </c>
      <c r="D513" s="164" t="s">
        <v>1447</v>
      </c>
      <c r="E513" s="124" t="s">
        <v>1436</v>
      </c>
      <c r="F513" s="135">
        <f>25496+61436+368</f>
        <v>87300</v>
      </c>
      <c r="G513" s="135">
        <f>25496+61436+368</f>
        <v>87300</v>
      </c>
      <c r="H513" s="135">
        <v>85767.7</v>
      </c>
      <c r="I513" s="121">
        <f t="shared" si="62"/>
        <v>98.24478808705612</v>
      </c>
      <c r="J513" s="121">
        <f t="shared" si="63"/>
        <v>98.24478808705612</v>
      </c>
    </row>
    <row r="514" spans="1:23" ht="36">
      <c r="A514" s="113" t="s">
        <v>48</v>
      </c>
      <c r="B514" s="124" t="s">
        <v>1625</v>
      </c>
      <c r="C514" s="124" t="s">
        <v>852</v>
      </c>
      <c r="D514" s="164" t="s">
        <v>1447</v>
      </c>
      <c r="E514" s="124" t="s">
        <v>1436</v>
      </c>
      <c r="F514" s="135">
        <v>0</v>
      </c>
      <c r="G514" s="135">
        <f>632+30</f>
        <v>662</v>
      </c>
      <c r="H514" s="135">
        <v>660.4</v>
      </c>
      <c r="I514" s="121">
        <v>0</v>
      </c>
      <c r="J514" s="121">
        <f t="shared" si="63"/>
        <v>99.75830815709969</v>
      </c>
      <c r="K514" s="9"/>
      <c r="L514" s="13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10" ht="15.75">
      <c r="A515" s="134" t="s">
        <v>1501</v>
      </c>
      <c r="B515" s="124" t="s">
        <v>1625</v>
      </c>
      <c r="C515" s="124" t="s">
        <v>852</v>
      </c>
      <c r="D515" s="164" t="s">
        <v>1447</v>
      </c>
      <c r="E515" s="124" t="s">
        <v>1502</v>
      </c>
      <c r="F515" s="135">
        <f>913445+515</f>
        <v>913960</v>
      </c>
      <c r="G515" s="135">
        <f>913445+515+25745+5915</f>
        <v>945620</v>
      </c>
      <c r="H515" s="135">
        <v>912233.6</v>
      </c>
      <c r="I515" s="121">
        <f t="shared" si="62"/>
        <v>99.81110770712066</v>
      </c>
      <c r="J515" s="121">
        <f t="shared" si="63"/>
        <v>96.4693640151435</v>
      </c>
    </row>
    <row r="516" spans="1:23" ht="36">
      <c r="A516" s="113" t="s">
        <v>48</v>
      </c>
      <c r="B516" s="124" t="s">
        <v>1625</v>
      </c>
      <c r="C516" s="124" t="s">
        <v>852</v>
      </c>
      <c r="D516" s="164" t="s">
        <v>1447</v>
      </c>
      <c r="E516" s="124" t="s">
        <v>1502</v>
      </c>
      <c r="F516" s="135">
        <v>0</v>
      </c>
      <c r="G516" s="135">
        <f>31747+171</f>
        <v>31918</v>
      </c>
      <c r="H516" s="135">
        <v>31873.5</v>
      </c>
      <c r="I516" s="121">
        <v>0</v>
      </c>
      <c r="J516" s="121">
        <f t="shared" si="63"/>
        <v>99.86058023685695</v>
      </c>
      <c r="K516" s="9"/>
      <c r="L516" s="13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10" ht="156">
      <c r="A517" s="134" t="s">
        <v>45</v>
      </c>
      <c r="B517" s="127" t="s">
        <v>1625</v>
      </c>
      <c r="C517" s="127" t="s">
        <v>852</v>
      </c>
      <c r="D517" s="127" t="s">
        <v>645</v>
      </c>
      <c r="E517" s="127"/>
      <c r="F517" s="132">
        <f aca="true" t="shared" si="69" ref="F517:H518">F518</f>
        <v>17278</v>
      </c>
      <c r="G517" s="132">
        <f t="shared" si="69"/>
        <v>17278</v>
      </c>
      <c r="H517" s="132">
        <f t="shared" si="69"/>
        <v>15295.4</v>
      </c>
      <c r="I517" s="121">
        <f t="shared" si="62"/>
        <v>88.52529227919898</v>
      </c>
      <c r="J517" s="121">
        <f t="shared" si="63"/>
        <v>88.52529227919898</v>
      </c>
    </row>
    <row r="518" spans="1:10" ht="36">
      <c r="A518" s="129" t="s">
        <v>752</v>
      </c>
      <c r="B518" s="127" t="s">
        <v>1625</v>
      </c>
      <c r="C518" s="127" t="s">
        <v>852</v>
      </c>
      <c r="D518" s="127" t="s">
        <v>645</v>
      </c>
      <c r="E518" s="127" t="s">
        <v>751</v>
      </c>
      <c r="F518" s="132">
        <f t="shared" si="69"/>
        <v>17278</v>
      </c>
      <c r="G518" s="132">
        <f t="shared" si="69"/>
        <v>17278</v>
      </c>
      <c r="H518" s="132">
        <f t="shared" si="69"/>
        <v>15295.4</v>
      </c>
      <c r="I518" s="121">
        <f t="shared" si="62"/>
        <v>88.52529227919898</v>
      </c>
      <c r="J518" s="121">
        <f t="shared" si="63"/>
        <v>88.52529227919898</v>
      </c>
    </row>
    <row r="519" spans="1:10" ht="36">
      <c r="A519" s="134" t="s">
        <v>124</v>
      </c>
      <c r="B519" s="127" t="s">
        <v>1625</v>
      </c>
      <c r="C519" s="127" t="s">
        <v>852</v>
      </c>
      <c r="D519" s="127" t="s">
        <v>645</v>
      </c>
      <c r="E519" s="127" t="s">
        <v>1409</v>
      </c>
      <c r="F519" s="135">
        <v>17278</v>
      </c>
      <c r="G519" s="135">
        <v>17278</v>
      </c>
      <c r="H519" s="135">
        <v>15295.4</v>
      </c>
      <c r="I519" s="121">
        <f t="shared" si="62"/>
        <v>88.52529227919898</v>
      </c>
      <c r="J519" s="121">
        <f t="shared" si="63"/>
        <v>88.52529227919898</v>
      </c>
    </row>
    <row r="520" spans="1:10" ht="84">
      <c r="A520" s="129" t="s">
        <v>156</v>
      </c>
      <c r="B520" s="124" t="s">
        <v>1625</v>
      </c>
      <c r="C520" s="124" t="s">
        <v>852</v>
      </c>
      <c r="D520" s="124" t="s">
        <v>1449</v>
      </c>
      <c r="E520" s="124"/>
      <c r="F520" s="132">
        <f>F521+F522+F523</f>
        <v>39792</v>
      </c>
      <c r="G520" s="132">
        <f>G521+G522+G523</f>
        <v>39792</v>
      </c>
      <c r="H520" s="132">
        <f>H521+H522+H523</f>
        <v>39665.8</v>
      </c>
      <c r="I520" s="121">
        <f t="shared" si="62"/>
        <v>99.68285082428629</v>
      </c>
      <c r="J520" s="121">
        <f t="shared" si="63"/>
        <v>99.68285082428629</v>
      </c>
    </row>
    <row r="521" spans="1:10" ht="15.75">
      <c r="A521" s="134" t="s">
        <v>1435</v>
      </c>
      <c r="B521" s="124" t="s">
        <v>1625</v>
      </c>
      <c r="C521" s="124" t="s">
        <v>852</v>
      </c>
      <c r="D521" s="124" t="s">
        <v>1449</v>
      </c>
      <c r="E521" s="124" t="s">
        <v>1436</v>
      </c>
      <c r="F521" s="135">
        <v>371</v>
      </c>
      <c r="G521" s="135">
        <v>371</v>
      </c>
      <c r="H521" s="135">
        <v>371</v>
      </c>
      <c r="I521" s="121">
        <f t="shared" si="62"/>
        <v>100</v>
      </c>
      <c r="J521" s="121">
        <f t="shared" si="63"/>
        <v>100</v>
      </c>
    </row>
    <row r="522" spans="1:10" ht="15.75">
      <c r="A522" s="134" t="s">
        <v>996</v>
      </c>
      <c r="B522" s="124" t="s">
        <v>1625</v>
      </c>
      <c r="C522" s="124" t="s">
        <v>852</v>
      </c>
      <c r="D522" s="124" t="s">
        <v>1449</v>
      </c>
      <c r="E522" s="124" t="s">
        <v>1502</v>
      </c>
      <c r="F522" s="135">
        <v>38837</v>
      </c>
      <c r="G522" s="135">
        <v>38837</v>
      </c>
      <c r="H522" s="135">
        <v>38837</v>
      </c>
      <c r="I522" s="121">
        <f t="shared" si="62"/>
        <v>100</v>
      </c>
      <c r="J522" s="121">
        <f t="shared" si="63"/>
        <v>100</v>
      </c>
    </row>
    <row r="523" spans="1:10" ht="36">
      <c r="A523" s="134" t="s">
        <v>124</v>
      </c>
      <c r="B523" s="127" t="s">
        <v>1625</v>
      </c>
      <c r="C523" s="127" t="s">
        <v>852</v>
      </c>
      <c r="D523" s="127" t="s">
        <v>1449</v>
      </c>
      <c r="E523" s="127" t="s">
        <v>1409</v>
      </c>
      <c r="F523" s="135">
        <v>584</v>
      </c>
      <c r="G523" s="135">
        <v>584</v>
      </c>
      <c r="H523" s="135">
        <v>457.8</v>
      </c>
      <c r="I523" s="121">
        <f t="shared" si="62"/>
        <v>78.39041095890411</v>
      </c>
      <c r="J523" s="121">
        <f t="shared" si="63"/>
        <v>78.39041095890411</v>
      </c>
    </row>
    <row r="524" spans="1:10" ht="72">
      <c r="A524" s="129" t="s">
        <v>1299</v>
      </c>
      <c r="B524" s="124" t="s">
        <v>1625</v>
      </c>
      <c r="C524" s="124" t="s">
        <v>852</v>
      </c>
      <c r="D524" s="124" t="s">
        <v>1450</v>
      </c>
      <c r="E524" s="124"/>
      <c r="F524" s="132">
        <f aca="true" t="shared" si="70" ref="F524:H525">F525</f>
        <v>299</v>
      </c>
      <c r="G524" s="132">
        <f t="shared" si="70"/>
        <v>299</v>
      </c>
      <c r="H524" s="132">
        <f t="shared" si="70"/>
        <v>297.1</v>
      </c>
      <c r="I524" s="121">
        <f t="shared" si="62"/>
        <v>99.36454849498328</v>
      </c>
      <c r="J524" s="121">
        <f t="shared" si="63"/>
        <v>99.36454849498328</v>
      </c>
    </row>
    <row r="525" spans="1:10" ht="24">
      <c r="A525" s="130" t="s">
        <v>1705</v>
      </c>
      <c r="B525" s="124" t="s">
        <v>1625</v>
      </c>
      <c r="C525" s="124" t="s">
        <v>852</v>
      </c>
      <c r="D525" s="124" t="s">
        <v>1450</v>
      </c>
      <c r="E525" s="124" t="s">
        <v>1706</v>
      </c>
      <c r="F525" s="132">
        <f t="shared" si="70"/>
        <v>299</v>
      </c>
      <c r="G525" s="132">
        <f t="shared" si="70"/>
        <v>299</v>
      </c>
      <c r="H525" s="132">
        <f t="shared" si="70"/>
        <v>297.1</v>
      </c>
      <c r="I525" s="121">
        <f t="shared" si="62"/>
        <v>99.36454849498328</v>
      </c>
      <c r="J525" s="121">
        <f t="shared" si="63"/>
        <v>99.36454849498328</v>
      </c>
    </row>
    <row r="526" spans="1:10" ht="24">
      <c r="A526" s="134" t="s">
        <v>386</v>
      </c>
      <c r="B526" s="124" t="s">
        <v>1625</v>
      </c>
      <c r="C526" s="124" t="s">
        <v>852</v>
      </c>
      <c r="D526" s="124" t="s">
        <v>1450</v>
      </c>
      <c r="E526" s="124" t="s">
        <v>846</v>
      </c>
      <c r="F526" s="135">
        <v>299</v>
      </c>
      <c r="G526" s="135">
        <v>299</v>
      </c>
      <c r="H526" s="135">
        <v>297.1</v>
      </c>
      <c r="I526" s="121">
        <f t="shared" si="62"/>
        <v>99.36454849498328</v>
      </c>
      <c r="J526" s="121">
        <f t="shared" si="63"/>
        <v>99.36454849498328</v>
      </c>
    </row>
    <row r="527" spans="1:10" ht="84">
      <c r="A527" s="134" t="s">
        <v>1300</v>
      </c>
      <c r="B527" s="124" t="s">
        <v>1625</v>
      </c>
      <c r="C527" s="124" t="s">
        <v>852</v>
      </c>
      <c r="D527" s="124" t="s">
        <v>537</v>
      </c>
      <c r="E527" s="124"/>
      <c r="F527" s="132">
        <f aca="true" t="shared" si="71" ref="F527:H528">F528</f>
        <v>1676</v>
      </c>
      <c r="G527" s="132">
        <f t="shared" si="71"/>
        <v>2033</v>
      </c>
      <c r="H527" s="132">
        <f t="shared" si="71"/>
        <v>1320.3</v>
      </c>
      <c r="I527" s="121">
        <f t="shared" si="62"/>
        <v>78.77684964200478</v>
      </c>
      <c r="J527" s="121">
        <f t="shared" si="63"/>
        <v>64.94343334972946</v>
      </c>
    </row>
    <row r="528" spans="1:10" ht="36">
      <c r="A528" s="129" t="s">
        <v>752</v>
      </c>
      <c r="B528" s="124" t="s">
        <v>1625</v>
      </c>
      <c r="C528" s="124" t="s">
        <v>852</v>
      </c>
      <c r="D528" s="124" t="s">
        <v>537</v>
      </c>
      <c r="E528" s="124" t="s">
        <v>751</v>
      </c>
      <c r="F528" s="132">
        <f t="shared" si="71"/>
        <v>1676</v>
      </c>
      <c r="G528" s="132">
        <f t="shared" si="71"/>
        <v>2033</v>
      </c>
      <c r="H528" s="132">
        <f t="shared" si="71"/>
        <v>1320.3</v>
      </c>
      <c r="I528" s="121">
        <f aca="true" t="shared" si="72" ref="I528:I536">H528/F528*100</f>
        <v>78.77684964200478</v>
      </c>
      <c r="J528" s="121">
        <f aca="true" t="shared" si="73" ref="J528:J591">H528/G528*100</f>
        <v>64.94343334972946</v>
      </c>
    </row>
    <row r="529" spans="1:10" ht="15.75">
      <c r="A529" s="134" t="s">
        <v>1435</v>
      </c>
      <c r="B529" s="124" t="s">
        <v>1625</v>
      </c>
      <c r="C529" s="124" t="s">
        <v>852</v>
      </c>
      <c r="D529" s="124" t="s">
        <v>537</v>
      </c>
      <c r="E529" s="124" t="s">
        <v>1436</v>
      </c>
      <c r="F529" s="135">
        <f>1676</f>
        <v>1676</v>
      </c>
      <c r="G529" s="135">
        <f>1676+2072-715-1000</f>
        <v>2033</v>
      </c>
      <c r="H529" s="135">
        <v>1320.3</v>
      </c>
      <c r="I529" s="121">
        <f t="shared" si="72"/>
        <v>78.77684964200478</v>
      </c>
      <c r="J529" s="121">
        <f t="shared" si="73"/>
        <v>64.94343334972946</v>
      </c>
    </row>
    <row r="530" spans="1:10" ht="60">
      <c r="A530" s="129" t="s">
        <v>1549</v>
      </c>
      <c r="B530" s="124" t="s">
        <v>1625</v>
      </c>
      <c r="C530" s="124" t="s">
        <v>852</v>
      </c>
      <c r="D530" s="124" t="s">
        <v>538</v>
      </c>
      <c r="E530" s="124"/>
      <c r="F530" s="132">
        <f>F531</f>
        <v>9839</v>
      </c>
      <c r="G530" s="132">
        <f>G531</f>
        <v>9839</v>
      </c>
      <c r="H530" s="132">
        <f>H531</f>
        <v>8095.799999999999</v>
      </c>
      <c r="I530" s="121">
        <f t="shared" si="72"/>
        <v>82.28275231222685</v>
      </c>
      <c r="J530" s="121">
        <f t="shared" si="73"/>
        <v>82.28275231222685</v>
      </c>
    </row>
    <row r="531" spans="1:10" ht="36">
      <c r="A531" s="129" t="s">
        <v>752</v>
      </c>
      <c r="B531" s="124" t="s">
        <v>1625</v>
      </c>
      <c r="C531" s="124" t="s">
        <v>852</v>
      </c>
      <c r="D531" s="124" t="s">
        <v>538</v>
      </c>
      <c r="E531" s="124" t="s">
        <v>751</v>
      </c>
      <c r="F531" s="132">
        <f>F532+F533</f>
        <v>9839</v>
      </c>
      <c r="G531" s="132">
        <f>G532+G533</f>
        <v>9839</v>
      </c>
      <c r="H531" s="132">
        <f>H532+H533</f>
        <v>8095.799999999999</v>
      </c>
      <c r="I531" s="121">
        <f t="shared" si="72"/>
        <v>82.28275231222685</v>
      </c>
      <c r="J531" s="121">
        <f t="shared" si="73"/>
        <v>82.28275231222685</v>
      </c>
    </row>
    <row r="532" spans="1:10" ht="15.75">
      <c r="A532" s="134" t="s">
        <v>1435</v>
      </c>
      <c r="B532" s="124" t="s">
        <v>1625</v>
      </c>
      <c r="C532" s="124" t="s">
        <v>852</v>
      </c>
      <c r="D532" s="124" t="s">
        <v>538</v>
      </c>
      <c r="E532" s="124" t="s">
        <v>1436</v>
      </c>
      <c r="F532" s="135">
        <v>181</v>
      </c>
      <c r="G532" s="135">
        <v>181</v>
      </c>
      <c r="H532" s="135">
        <v>121.9</v>
      </c>
      <c r="I532" s="121">
        <f t="shared" si="72"/>
        <v>67.34806629834254</v>
      </c>
      <c r="J532" s="121">
        <f t="shared" si="73"/>
        <v>67.34806629834254</v>
      </c>
    </row>
    <row r="533" spans="1:10" ht="15.75">
      <c r="A533" s="134" t="s">
        <v>996</v>
      </c>
      <c r="B533" s="124" t="s">
        <v>1625</v>
      </c>
      <c r="C533" s="124" t="s">
        <v>852</v>
      </c>
      <c r="D533" s="124" t="s">
        <v>538</v>
      </c>
      <c r="E533" s="124" t="s">
        <v>1502</v>
      </c>
      <c r="F533" s="135">
        <v>9658</v>
      </c>
      <c r="G533" s="135">
        <v>9658</v>
      </c>
      <c r="H533" s="135">
        <v>7973.9</v>
      </c>
      <c r="I533" s="121">
        <f t="shared" si="72"/>
        <v>82.5626423690205</v>
      </c>
      <c r="J533" s="121">
        <f t="shared" si="73"/>
        <v>82.5626423690205</v>
      </c>
    </row>
    <row r="534" spans="1:10" ht="48">
      <c r="A534" s="111" t="s">
        <v>1228</v>
      </c>
      <c r="B534" s="124" t="s">
        <v>1625</v>
      </c>
      <c r="C534" s="124" t="s">
        <v>852</v>
      </c>
      <c r="D534" s="124" t="s">
        <v>1227</v>
      </c>
      <c r="E534" s="124"/>
      <c r="F534" s="132">
        <f aca="true" t="shared" si="74" ref="F534:H535">F535</f>
        <v>37</v>
      </c>
      <c r="G534" s="132">
        <f t="shared" si="74"/>
        <v>0</v>
      </c>
      <c r="H534" s="132">
        <f t="shared" si="74"/>
        <v>0</v>
      </c>
      <c r="I534" s="121">
        <f t="shared" si="72"/>
        <v>0</v>
      </c>
      <c r="J534" s="121">
        <v>0</v>
      </c>
    </row>
    <row r="535" spans="1:10" ht="36">
      <c r="A535" s="129" t="s">
        <v>752</v>
      </c>
      <c r="B535" s="124" t="s">
        <v>1625</v>
      </c>
      <c r="C535" s="124" t="s">
        <v>852</v>
      </c>
      <c r="D535" s="124" t="s">
        <v>1227</v>
      </c>
      <c r="E535" s="124" t="s">
        <v>751</v>
      </c>
      <c r="F535" s="132">
        <f t="shared" si="74"/>
        <v>37</v>
      </c>
      <c r="G535" s="132">
        <f t="shared" si="74"/>
        <v>0</v>
      </c>
      <c r="H535" s="132">
        <f t="shared" si="74"/>
        <v>0</v>
      </c>
      <c r="I535" s="121">
        <f t="shared" si="72"/>
        <v>0</v>
      </c>
      <c r="J535" s="121">
        <v>0</v>
      </c>
    </row>
    <row r="536" spans="1:10" ht="15.75">
      <c r="A536" s="134" t="s">
        <v>996</v>
      </c>
      <c r="B536" s="124" t="s">
        <v>1625</v>
      </c>
      <c r="C536" s="124" t="s">
        <v>852</v>
      </c>
      <c r="D536" s="124" t="s">
        <v>1227</v>
      </c>
      <c r="E536" s="124" t="s">
        <v>1502</v>
      </c>
      <c r="F536" s="135">
        <v>37</v>
      </c>
      <c r="G536" s="135">
        <v>0</v>
      </c>
      <c r="H536" s="135">
        <v>0</v>
      </c>
      <c r="I536" s="121">
        <f t="shared" si="72"/>
        <v>0</v>
      </c>
      <c r="J536" s="121">
        <v>0</v>
      </c>
    </row>
    <row r="537" spans="1:10" ht="108">
      <c r="A537" s="134" t="s">
        <v>854</v>
      </c>
      <c r="B537" s="127" t="s">
        <v>1625</v>
      </c>
      <c r="C537" s="127" t="s">
        <v>852</v>
      </c>
      <c r="D537" s="124" t="s">
        <v>855</v>
      </c>
      <c r="E537" s="127"/>
      <c r="F537" s="132">
        <f aca="true" t="shared" si="75" ref="F537:H538">F538</f>
        <v>0</v>
      </c>
      <c r="G537" s="132">
        <f t="shared" si="75"/>
        <v>1000</v>
      </c>
      <c r="H537" s="132">
        <f t="shared" si="75"/>
        <v>1000</v>
      </c>
      <c r="I537" s="121">
        <v>0</v>
      </c>
      <c r="J537" s="121">
        <f t="shared" si="73"/>
        <v>100</v>
      </c>
    </row>
    <row r="538" spans="1:10" ht="36">
      <c r="A538" s="129" t="s">
        <v>752</v>
      </c>
      <c r="B538" s="127" t="s">
        <v>1625</v>
      </c>
      <c r="C538" s="127" t="s">
        <v>852</v>
      </c>
      <c r="D538" s="124" t="s">
        <v>855</v>
      </c>
      <c r="E538" s="127" t="s">
        <v>751</v>
      </c>
      <c r="F538" s="132">
        <f t="shared" si="75"/>
        <v>0</v>
      </c>
      <c r="G538" s="132">
        <f t="shared" si="75"/>
        <v>1000</v>
      </c>
      <c r="H538" s="132">
        <f t="shared" si="75"/>
        <v>1000</v>
      </c>
      <c r="I538" s="121">
        <v>0</v>
      </c>
      <c r="J538" s="121">
        <f t="shared" si="73"/>
        <v>100</v>
      </c>
    </row>
    <row r="539" spans="1:10" ht="15.75">
      <c r="A539" s="134" t="s">
        <v>996</v>
      </c>
      <c r="B539" s="127" t="s">
        <v>1625</v>
      </c>
      <c r="C539" s="127" t="s">
        <v>852</v>
      </c>
      <c r="D539" s="124" t="s">
        <v>855</v>
      </c>
      <c r="E539" s="127" t="s">
        <v>1502</v>
      </c>
      <c r="F539" s="135"/>
      <c r="G539" s="135">
        <v>1000</v>
      </c>
      <c r="H539" s="135">
        <v>1000</v>
      </c>
      <c r="I539" s="121">
        <v>0</v>
      </c>
      <c r="J539" s="121">
        <f t="shared" si="73"/>
        <v>100</v>
      </c>
    </row>
    <row r="540" spans="1:10" ht="72">
      <c r="A540" s="201" t="s">
        <v>1381</v>
      </c>
      <c r="B540" s="124" t="s">
        <v>1625</v>
      </c>
      <c r="C540" s="124" t="s">
        <v>852</v>
      </c>
      <c r="D540" s="124" t="s">
        <v>1382</v>
      </c>
      <c r="E540" s="124"/>
      <c r="F540" s="132">
        <f aca="true" t="shared" si="76" ref="F540:H541">F541</f>
        <v>0</v>
      </c>
      <c r="G540" s="132">
        <f t="shared" si="76"/>
        <v>1337.4</v>
      </c>
      <c r="H540" s="132">
        <f t="shared" si="76"/>
        <v>1337.4</v>
      </c>
      <c r="I540" s="121">
        <v>0</v>
      </c>
      <c r="J540" s="121">
        <f t="shared" si="73"/>
        <v>100</v>
      </c>
    </row>
    <row r="541" spans="1:10" ht="36">
      <c r="A541" s="129" t="s">
        <v>752</v>
      </c>
      <c r="B541" s="124" t="s">
        <v>1625</v>
      </c>
      <c r="C541" s="124" t="s">
        <v>852</v>
      </c>
      <c r="D541" s="124" t="s">
        <v>1382</v>
      </c>
      <c r="E541" s="124" t="s">
        <v>751</v>
      </c>
      <c r="F541" s="132">
        <f t="shared" si="76"/>
        <v>0</v>
      </c>
      <c r="G541" s="132">
        <f t="shared" si="76"/>
        <v>1337.4</v>
      </c>
      <c r="H541" s="132">
        <f t="shared" si="76"/>
        <v>1337.4</v>
      </c>
      <c r="I541" s="121">
        <v>0</v>
      </c>
      <c r="J541" s="121">
        <f t="shared" si="73"/>
        <v>100</v>
      </c>
    </row>
    <row r="542" spans="1:10" ht="15.75">
      <c r="A542" s="134" t="s">
        <v>996</v>
      </c>
      <c r="B542" s="124" t="s">
        <v>1625</v>
      </c>
      <c r="C542" s="124" t="s">
        <v>852</v>
      </c>
      <c r="D542" s="124" t="s">
        <v>1382</v>
      </c>
      <c r="E542" s="124" t="s">
        <v>1502</v>
      </c>
      <c r="F542" s="135">
        <v>0</v>
      </c>
      <c r="G542" s="135">
        <v>1337.4</v>
      </c>
      <c r="H542" s="135">
        <v>1337.4</v>
      </c>
      <c r="I542" s="121">
        <v>0</v>
      </c>
      <c r="J542" s="121">
        <f t="shared" si="73"/>
        <v>100</v>
      </c>
    </row>
    <row r="543" spans="1:10" ht="60">
      <c r="A543" s="134" t="s">
        <v>856</v>
      </c>
      <c r="B543" s="124" t="s">
        <v>1625</v>
      </c>
      <c r="C543" s="124" t="s">
        <v>852</v>
      </c>
      <c r="D543" s="124" t="s">
        <v>857</v>
      </c>
      <c r="E543" s="124"/>
      <c r="F543" s="132">
        <f aca="true" t="shared" si="77" ref="F543:H544">F544</f>
        <v>0</v>
      </c>
      <c r="G543" s="132">
        <f t="shared" si="77"/>
        <v>889.9</v>
      </c>
      <c r="H543" s="132">
        <f t="shared" si="77"/>
        <v>889.9</v>
      </c>
      <c r="I543" s="121">
        <v>0</v>
      </c>
      <c r="J543" s="121">
        <f t="shared" si="73"/>
        <v>100</v>
      </c>
    </row>
    <row r="544" spans="1:10" ht="36">
      <c r="A544" s="129" t="s">
        <v>752</v>
      </c>
      <c r="B544" s="124" t="s">
        <v>1625</v>
      </c>
      <c r="C544" s="124" t="s">
        <v>852</v>
      </c>
      <c r="D544" s="124" t="s">
        <v>857</v>
      </c>
      <c r="E544" s="124" t="s">
        <v>751</v>
      </c>
      <c r="F544" s="132">
        <f t="shared" si="77"/>
        <v>0</v>
      </c>
      <c r="G544" s="132">
        <f t="shared" si="77"/>
        <v>889.9</v>
      </c>
      <c r="H544" s="132">
        <f t="shared" si="77"/>
        <v>889.9</v>
      </c>
      <c r="I544" s="121">
        <v>0</v>
      </c>
      <c r="J544" s="121">
        <f t="shared" si="73"/>
        <v>100</v>
      </c>
    </row>
    <row r="545" spans="1:10" ht="15.75">
      <c r="A545" s="134" t="s">
        <v>996</v>
      </c>
      <c r="B545" s="124" t="s">
        <v>1625</v>
      </c>
      <c r="C545" s="124" t="s">
        <v>852</v>
      </c>
      <c r="D545" s="124" t="s">
        <v>857</v>
      </c>
      <c r="E545" s="124" t="s">
        <v>1502</v>
      </c>
      <c r="F545" s="135">
        <v>0</v>
      </c>
      <c r="G545" s="135">
        <v>889.9</v>
      </c>
      <c r="H545" s="135">
        <v>889.9</v>
      </c>
      <c r="I545" s="121">
        <v>0</v>
      </c>
      <c r="J545" s="121">
        <f t="shared" si="73"/>
        <v>100</v>
      </c>
    </row>
    <row r="546" spans="1:10" ht="36">
      <c r="A546" s="112" t="s">
        <v>1271</v>
      </c>
      <c r="B546" s="124" t="s">
        <v>1625</v>
      </c>
      <c r="C546" s="124" t="s">
        <v>852</v>
      </c>
      <c r="D546" s="124" t="s">
        <v>1270</v>
      </c>
      <c r="E546" s="124"/>
      <c r="F546" s="132">
        <f aca="true" t="shared" si="78" ref="F546:H547">F547</f>
        <v>1000</v>
      </c>
      <c r="G546" s="132">
        <f t="shared" si="78"/>
        <v>1000</v>
      </c>
      <c r="H546" s="132">
        <f t="shared" si="78"/>
        <v>1000</v>
      </c>
      <c r="I546" s="121">
        <f>H546/F546*100</f>
        <v>100</v>
      </c>
      <c r="J546" s="121">
        <f t="shared" si="73"/>
        <v>100</v>
      </c>
    </row>
    <row r="547" spans="1:10" ht="36">
      <c r="A547" s="129" t="s">
        <v>752</v>
      </c>
      <c r="B547" s="124" t="s">
        <v>1625</v>
      </c>
      <c r="C547" s="124" t="s">
        <v>852</v>
      </c>
      <c r="D547" s="124" t="s">
        <v>1270</v>
      </c>
      <c r="E547" s="124" t="s">
        <v>751</v>
      </c>
      <c r="F547" s="132">
        <f t="shared" si="78"/>
        <v>1000</v>
      </c>
      <c r="G547" s="132">
        <f t="shared" si="78"/>
        <v>1000</v>
      </c>
      <c r="H547" s="132">
        <f t="shared" si="78"/>
        <v>1000</v>
      </c>
      <c r="I547" s="121">
        <f>H547/F547*100</f>
        <v>100</v>
      </c>
      <c r="J547" s="121">
        <f t="shared" si="73"/>
        <v>100</v>
      </c>
    </row>
    <row r="548" spans="1:10" ht="15.75">
      <c r="A548" s="134" t="s">
        <v>996</v>
      </c>
      <c r="B548" s="124" t="s">
        <v>1625</v>
      </c>
      <c r="C548" s="124" t="s">
        <v>852</v>
      </c>
      <c r="D548" s="124" t="s">
        <v>1270</v>
      </c>
      <c r="E548" s="124" t="s">
        <v>1502</v>
      </c>
      <c r="F548" s="135">
        <v>1000</v>
      </c>
      <c r="G548" s="135">
        <v>1000</v>
      </c>
      <c r="H548" s="135">
        <v>1000</v>
      </c>
      <c r="I548" s="121">
        <f>H548/F548*100</f>
        <v>100</v>
      </c>
      <c r="J548" s="121">
        <f t="shared" si="73"/>
        <v>100</v>
      </c>
    </row>
    <row r="549" spans="1:10" ht="36">
      <c r="A549" s="158" t="s">
        <v>1030</v>
      </c>
      <c r="B549" s="127" t="s">
        <v>1625</v>
      </c>
      <c r="C549" s="127" t="s">
        <v>852</v>
      </c>
      <c r="D549" s="124" t="s">
        <v>539</v>
      </c>
      <c r="E549" s="124"/>
      <c r="F549" s="132">
        <f>F550+F553</f>
        <v>198082</v>
      </c>
      <c r="G549" s="132">
        <f>G550+G553</f>
        <v>250792.4</v>
      </c>
      <c r="H549" s="132">
        <f>H550+H553</f>
        <v>245743.19999999998</v>
      </c>
      <c r="I549" s="121">
        <f>H549/F549*100</f>
        <v>124.06134833048938</v>
      </c>
      <c r="J549" s="121">
        <f t="shared" si="73"/>
        <v>97.9867013513966</v>
      </c>
    </row>
    <row r="550" spans="1:10" ht="36">
      <c r="A550" s="129" t="s">
        <v>592</v>
      </c>
      <c r="B550" s="127" t="s">
        <v>1625</v>
      </c>
      <c r="C550" s="127" t="s">
        <v>852</v>
      </c>
      <c r="D550" s="124" t="s">
        <v>539</v>
      </c>
      <c r="E550" s="124" t="s">
        <v>107</v>
      </c>
      <c r="F550" s="132">
        <f aca="true" t="shared" si="79" ref="F550:H551">F551</f>
        <v>0</v>
      </c>
      <c r="G550" s="132">
        <f t="shared" si="79"/>
        <v>1005.6</v>
      </c>
      <c r="H550" s="132">
        <f t="shared" si="79"/>
        <v>1005.4</v>
      </c>
      <c r="I550" s="121">
        <v>0</v>
      </c>
      <c r="J550" s="121">
        <f t="shared" si="73"/>
        <v>99.98011137629275</v>
      </c>
    </row>
    <row r="551" spans="1:10" ht="60">
      <c r="A551" s="129" t="s">
        <v>387</v>
      </c>
      <c r="B551" s="127" t="s">
        <v>1625</v>
      </c>
      <c r="C551" s="127" t="s">
        <v>852</v>
      </c>
      <c r="D551" s="124" t="s">
        <v>539</v>
      </c>
      <c r="E551" s="124" t="s">
        <v>2</v>
      </c>
      <c r="F551" s="132">
        <f t="shared" si="79"/>
        <v>0</v>
      </c>
      <c r="G551" s="132">
        <f t="shared" si="79"/>
        <v>1005.6</v>
      </c>
      <c r="H551" s="132">
        <f t="shared" si="79"/>
        <v>1005.4</v>
      </c>
      <c r="I551" s="121">
        <v>0</v>
      </c>
      <c r="J551" s="121">
        <f t="shared" si="73"/>
        <v>99.98011137629275</v>
      </c>
    </row>
    <row r="552" spans="1:10" ht="48">
      <c r="A552" s="129" t="s">
        <v>1301</v>
      </c>
      <c r="B552" s="127" t="s">
        <v>1625</v>
      </c>
      <c r="C552" s="127" t="s">
        <v>852</v>
      </c>
      <c r="D552" s="124" t="s">
        <v>539</v>
      </c>
      <c r="E552" s="124" t="s">
        <v>2</v>
      </c>
      <c r="F552" s="135"/>
      <c r="G552" s="135">
        <v>1005.6</v>
      </c>
      <c r="H552" s="135">
        <v>1005.4</v>
      </c>
      <c r="I552" s="121">
        <v>0</v>
      </c>
      <c r="J552" s="121">
        <f t="shared" si="73"/>
        <v>99.98011137629275</v>
      </c>
    </row>
    <row r="553" spans="1:10" ht="36">
      <c r="A553" s="129" t="s">
        <v>752</v>
      </c>
      <c r="B553" s="127" t="s">
        <v>1625</v>
      </c>
      <c r="C553" s="127" t="s">
        <v>852</v>
      </c>
      <c r="D553" s="124" t="s">
        <v>539</v>
      </c>
      <c r="E553" s="124" t="s">
        <v>751</v>
      </c>
      <c r="F553" s="132">
        <f>F554+F557</f>
        <v>198082</v>
      </c>
      <c r="G553" s="132">
        <f>G554+G557</f>
        <v>249786.8</v>
      </c>
      <c r="H553" s="132">
        <f>H554+H557</f>
        <v>244737.8</v>
      </c>
      <c r="I553" s="121">
        <f>H553/F553*100</f>
        <v>123.55378075746408</v>
      </c>
      <c r="J553" s="121">
        <f t="shared" si="73"/>
        <v>97.97867621507622</v>
      </c>
    </row>
    <row r="554" spans="1:10" ht="24">
      <c r="A554" s="134" t="s">
        <v>753</v>
      </c>
      <c r="B554" s="127" t="s">
        <v>1625</v>
      </c>
      <c r="C554" s="127" t="s">
        <v>852</v>
      </c>
      <c r="D554" s="124" t="s">
        <v>539</v>
      </c>
      <c r="E554" s="127" t="s">
        <v>1436</v>
      </c>
      <c r="F554" s="135">
        <f>3147+F555+F556</f>
        <v>3147</v>
      </c>
      <c r="G554" s="135">
        <f>3147+G555+G556</f>
        <v>5946</v>
      </c>
      <c r="H554" s="135">
        <v>5851.4</v>
      </c>
      <c r="I554" s="121">
        <f>H554/F554*100</f>
        <v>185.93581188433427</v>
      </c>
      <c r="J554" s="121">
        <f t="shared" si="73"/>
        <v>98.40901446350487</v>
      </c>
    </row>
    <row r="555" spans="1:10" ht="24">
      <c r="A555" s="134" t="s">
        <v>49</v>
      </c>
      <c r="B555" s="127" t="s">
        <v>1625</v>
      </c>
      <c r="C555" s="127" t="s">
        <v>852</v>
      </c>
      <c r="D555" s="124" t="s">
        <v>539</v>
      </c>
      <c r="E555" s="127" t="s">
        <v>1436</v>
      </c>
      <c r="F555" s="135"/>
      <c r="G555" s="135">
        <f>1500+1150-211</f>
        <v>2439</v>
      </c>
      <c r="H555" s="135">
        <v>2438.5</v>
      </c>
      <c r="I555" s="121">
        <v>0</v>
      </c>
      <c r="J555" s="121">
        <f t="shared" si="73"/>
        <v>99.97949979499795</v>
      </c>
    </row>
    <row r="556" spans="1:10" ht="36">
      <c r="A556" s="134" t="s">
        <v>50</v>
      </c>
      <c r="B556" s="127" t="s">
        <v>1625</v>
      </c>
      <c r="C556" s="127" t="s">
        <v>852</v>
      </c>
      <c r="D556" s="124" t="s">
        <v>539</v>
      </c>
      <c r="E556" s="127" t="s">
        <v>1436</v>
      </c>
      <c r="F556" s="135"/>
      <c r="G556" s="135">
        <v>360</v>
      </c>
      <c r="H556" s="135">
        <v>359.1</v>
      </c>
      <c r="I556" s="121">
        <v>0</v>
      </c>
      <c r="J556" s="121">
        <f t="shared" si="73"/>
        <v>99.75</v>
      </c>
    </row>
    <row r="557" spans="1:10" ht="24">
      <c r="A557" s="134" t="s">
        <v>1682</v>
      </c>
      <c r="B557" s="127" t="s">
        <v>1625</v>
      </c>
      <c r="C557" s="127" t="s">
        <v>852</v>
      </c>
      <c r="D557" s="124" t="s">
        <v>539</v>
      </c>
      <c r="E557" s="127" t="s">
        <v>1502</v>
      </c>
      <c r="F557" s="135">
        <v>194935</v>
      </c>
      <c r="G557" s="135">
        <f>171935+23000+G561+G562+G563-1600+33.4+350+4440-74+G566-133.7+G567+G568+G569+G570+G571-563.3-366.7-246+G574+G575+G576+G577-400+G578+G579+G572+G573+110+G580-400-1650+G581-105-350+G582+G584+G585-1366+G586-500+G583+G587+G588-350</f>
        <v>243840.8</v>
      </c>
      <c r="H557" s="135">
        <v>238886.4</v>
      </c>
      <c r="I557" s="121">
        <f>H557/F557*100</f>
        <v>122.54669505219688</v>
      </c>
      <c r="J557" s="121">
        <f t="shared" si="73"/>
        <v>97.96818251908623</v>
      </c>
    </row>
    <row r="558" spans="1:10" ht="24">
      <c r="A558" s="134" t="s">
        <v>432</v>
      </c>
      <c r="B558" s="127" t="s">
        <v>1625</v>
      </c>
      <c r="C558" s="127" t="s">
        <v>852</v>
      </c>
      <c r="D558" s="124" t="s">
        <v>539</v>
      </c>
      <c r="E558" s="127" t="s">
        <v>1502</v>
      </c>
      <c r="F558" s="135">
        <f>30000</f>
        <v>30000</v>
      </c>
      <c r="G558" s="135">
        <f>30000-246-400-105-350</f>
        <v>28899</v>
      </c>
      <c r="H558" s="135">
        <v>28865.8</v>
      </c>
      <c r="I558" s="121">
        <f>H558/F558*100</f>
        <v>96.21933333333334</v>
      </c>
      <c r="J558" s="121">
        <f t="shared" si="73"/>
        <v>99.8851171320807</v>
      </c>
    </row>
    <row r="559" spans="1:10" ht="24">
      <c r="A559" s="134" t="s">
        <v>536</v>
      </c>
      <c r="B559" s="127" t="s">
        <v>1625</v>
      </c>
      <c r="C559" s="127" t="s">
        <v>852</v>
      </c>
      <c r="D559" s="124" t="s">
        <v>539</v>
      </c>
      <c r="E559" s="127" t="s">
        <v>1502</v>
      </c>
      <c r="F559" s="135">
        <f>2450</f>
        <v>2450</v>
      </c>
      <c r="G559" s="135">
        <f>2450-300-1650</f>
        <v>500</v>
      </c>
      <c r="H559" s="135">
        <v>200</v>
      </c>
      <c r="I559" s="121">
        <f>H559/F559*100</f>
        <v>8.16326530612245</v>
      </c>
      <c r="J559" s="121">
        <f t="shared" si="73"/>
        <v>40</v>
      </c>
    </row>
    <row r="560" spans="1:10" ht="36">
      <c r="A560" s="134" t="s">
        <v>1054</v>
      </c>
      <c r="B560" s="127" t="s">
        <v>1625</v>
      </c>
      <c r="C560" s="127" t="s">
        <v>852</v>
      </c>
      <c r="D560" s="124" t="s">
        <v>539</v>
      </c>
      <c r="E560" s="127" t="s">
        <v>1502</v>
      </c>
      <c r="F560" s="135">
        <f>23000</f>
        <v>23000</v>
      </c>
      <c r="G560" s="135">
        <f>23000-366.7</f>
        <v>22633.3</v>
      </c>
      <c r="H560" s="135">
        <f>23000-366.7</f>
        <v>22633.3</v>
      </c>
      <c r="I560" s="121">
        <f>H560/F560*100</f>
        <v>98.40565217391304</v>
      </c>
      <c r="J560" s="121">
        <f t="shared" si="73"/>
        <v>100</v>
      </c>
    </row>
    <row r="561" spans="1:10" ht="48">
      <c r="A561" s="134" t="s">
        <v>1393</v>
      </c>
      <c r="B561" s="127" t="s">
        <v>1625</v>
      </c>
      <c r="C561" s="127" t="s">
        <v>852</v>
      </c>
      <c r="D561" s="124" t="s">
        <v>539</v>
      </c>
      <c r="E561" s="127" t="s">
        <v>1502</v>
      </c>
      <c r="F561" s="135"/>
      <c r="G561" s="135">
        <f>32615.9-45-15-36-6</f>
        <v>32513.9</v>
      </c>
      <c r="H561" s="135">
        <v>32513.7</v>
      </c>
      <c r="I561" s="121">
        <v>0</v>
      </c>
      <c r="J561" s="121">
        <f t="shared" si="73"/>
        <v>99.99938487846735</v>
      </c>
    </row>
    <row r="562" spans="1:10" ht="36">
      <c r="A562" s="134" t="s">
        <v>858</v>
      </c>
      <c r="B562" s="127" t="s">
        <v>1625</v>
      </c>
      <c r="C562" s="127" t="s">
        <v>852</v>
      </c>
      <c r="D562" s="124" t="s">
        <v>539</v>
      </c>
      <c r="E562" s="127" t="s">
        <v>1502</v>
      </c>
      <c r="F562" s="135"/>
      <c r="G562" s="135">
        <v>1458.8</v>
      </c>
      <c r="H562" s="135">
        <v>1458.8</v>
      </c>
      <c r="I562" s="121">
        <v>0</v>
      </c>
      <c r="J562" s="121">
        <f t="shared" si="73"/>
        <v>100</v>
      </c>
    </row>
    <row r="563" spans="1:10" ht="48">
      <c r="A563" s="134" t="s">
        <v>902</v>
      </c>
      <c r="B563" s="127" t="s">
        <v>1625</v>
      </c>
      <c r="C563" s="127" t="s">
        <v>852</v>
      </c>
      <c r="D563" s="124" t="s">
        <v>539</v>
      </c>
      <c r="E563" s="127" t="s">
        <v>1502</v>
      </c>
      <c r="F563" s="135"/>
      <c r="G563" s="135">
        <v>450</v>
      </c>
      <c r="H563" s="135">
        <v>450</v>
      </c>
      <c r="I563" s="121">
        <v>0</v>
      </c>
      <c r="J563" s="121">
        <f t="shared" si="73"/>
        <v>100</v>
      </c>
    </row>
    <row r="564" spans="1:10" ht="48">
      <c r="A564" s="134" t="s">
        <v>859</v>
      </c>
      <c r="B564" s="127" t="s">
        <v>1625</v>
      </c>
      <c r="C564" s="127" t="s">
        <v>852</v>
      </c>
      <c r="D564" s="124" t="s">
        <v>539</v>
      </c>
      <c r="E564" s="127" t="s">
        <v>1502</v>
      </c>
      <c r="F564" s="135"/>
      <c r="G564" s="135">
        <v>33.4</v>
      </c>
      <c r="H564" s="135">
        <v>33.4</v>
      </c>
      <c r="I564" s="121">
        <v>0</v>
      </c>
      <c r="J564" s="121">
        <f t="shared" si="73"/>
        <v>100</v>
      </c>
    </row>
    <row r="565" spans="1:10" ht="24">
      <c r="A565" s="134" t="s">
        <v>903</v>
      </c>
      <c r="B565" s="127" t="s">
        <v>1625</v>
      </c>
      <c r="C565" s="127" t="s">
        <v>852</v>
      </c>
      <c r="D565" s="124" t="s">
        <v>539</v>
      </c>
      <c r="E565" s="127" t="s">
        <v>1502</v>
      </c>
      <c r="F565" s="135"/>
      <c r="G565" s="135">
        <v>10.6</v>
      </c>
      <c r="H565" s="135">
        <v>10.6</v>
      </c>
      <c r="I565" s="121">
        <v>0</v>
      </c>
      <c r="J565" s="121">
        <f t="shared" si="73"/>
        <v>100</v>
      </c>
    </row>
    <row r="566" spans="1:10" ht="72">
      <c r="A566" s="134" t="s">
        <v>594</v>
      </c>
      <c r="B566" s="127" t="s">
        <v>1625</v>
      </c>
      <c r="C566" s="127" t="s">
        <v>852</v>
      </c>
      <c r="D566" s="124" t="s">
        <v>539</v>
      </c>
      <c r="E566" s="127" t="s">
        <v>1502</v>
      </c>
      <c r="F566" s="135"/>
      <c r="G566" s="135">
        <f>74+15</f>
        <v>89</v>
      </c>
      <c r="H566" s="135">
        <f>74+15</f>
        <v>89</v>
      </c>
      <c r="I566" s="121">
        <v>0</v>
      </c>
      <c r="J566" s="121">
        <f t="shared" si="73"/>
        <v>100</v>
      </c>
    </row>
    <row r="567" spans="1:10" ht="84">
      <c r="A567" s="134" t="s">
        <v>595</v>
      </c>
      <c r="B567" s="127" t="s">
        <v>1625</v>
      </c>
      <c r="C567" s="127" t="s">
        <v>852</v>
      </c>
      <c r="D567" s="124" t="s">
        <v>539</v>
      </c>
      <c r="E567" s="127" t="s">
        <v>1502</v>
      </c>
      <c r="F567" s="135"/>
      <c r="G567" s="135">
        <v>133.7</v>
      </c>
      <c r="H567" s="135">
        <v>133.7</v>
      </c>
      <c r="I567" s="121">
        <v>0</v>
      </c>
      <c r="J567" s="121">
        <f t="shared" si="73"/>
        <v>100</v>
      </c>
    </row>
    <row r="568" spans="1:10" ht="36">
      <c r="A568" s="134" t="s">
        <v>596</v>
      </c>
      <c r="B568" s="127" t="s">
        <v>1625</v>
      </c>
      <c r="C568" s="127" t="s">
        <v>852</v>
      </c>
      <c r="D568" s="124" t="s">
        <v>539</v>
      </c>
      <c r="E568" s="127" t="s">
        <v>1502</v>
      </c>
      <c r="F568" s="135"/>
      <c r="G568" s="135">
        <v>5989.7</v>
      </c>
      <c r="H568" s="135">
        <v>5989.6</v>
      </c>
      <c r="I568" s="121">
        <v>0</v>
      </c>
      <c r="J568" s="121">
        <f t="shared" si="73"/>
        <v>99.99833046730221</v>
      </c>
    </row>
    <row r="569" spans="1:10" ht="36">
      <c r="A569" s="134" t="s">
        <v>597</v>
      </c>
      <c r="B569" s="127" t="s">
        <v>1625</v>
      </c>
      <c r="C569" s="127" t="s">
        <v>852</v>
      </c>
      <c r="D569" s="124" t="s">
        <v>539</v>
      </c>
      <c r="E569" s="127" t="s">
        <v>1502</v>
      </c>
      <c r="F569" s="135"/>
      <c r="G569" s="135">
        <v>250</v>
      </c>
      <c r="H569" s="135">
        <v>250</v>
      </c>
      <c r="I569" s="121">
        <v>0</v>
      </c>
      <c r="J569" s="121">
        <f t="shared" si="73"/>
        <v>100</v>
      </c>
    </row>
    <row r="570" spans="1:10" ht="36">
      <c r="A570" s="134" t="s">
        <v>598</v>
      </c>
      <c r="B570" s="127" t="s">
        <v>1625</v>
      </c>
      <c r="C570" s="127" t="s">
        <v>852</v>
      </c>
      <c r="D570" s="124" t="s">
        <v>539</v>
      </c>
      <c r="E570" s="127" t="s">
        <v>1502</v>
      </c>
      <c r="F570" s="135"/>
      <c r="G570" s="135">
        <v>380</v>
      </c>
      <c r="H570" s="135">
        <v>380</v>
      </c>
      <c r="I570" s="121">
        <v>0</v>
      </c>
      <c r="J570" s="121">
        <f t="shared" si="73"/>
        <v>100</v>
      </c>
    </row>
    <row r="571" spans="1:10" ht="36">
      <c r="A571" s="134" t="s">
        <v>599</v>
      </c>
      <c r="B571" s="127" t="s">
        <v>1625</v>
      </c>
      <c r="C571" s="127" t="s">
        <v>852</v>
      </c>
      <c r="D571" s="124" t="s">
        <v>539</v>
      </c>
      <c r="E571" s="127" t="s">
        <v>1502</v>
      </c>
      <c r="F571" s="135"/>
      <c r="G571" s="135">
        <f>300</f>
        <v>300</v>
      </c>
      <c r="H571" s="135">
        <f>300</f>
        <v>300</v>
      </c>
      <c r="I571" s="121">
        <v>0</v>
      </c>
      <c r="J571" s="121">
        <f t="shared" si="73"/>
        <v>100</v>
      </c>
    </row>
    <row r="572" spans="1:10" ht="72">
      <c r="A572" s="134" t="s">
        <v>1466</v>
      </c>
      <c r="B572" s="127" t="s">
        <v>1625</v>
      </c>
      <c r="C572" s="127" t="s">
        <v>852</v>
      </c>
      <c r="D572" s="124" t="s">
        <v>539</v>
      </c>
      <c r="E572" s="127" t="s">
        <v>1502</v>
      </c>
      <c r="F572" s="135"/>
      <c r="G572" s="135">
        <v>500</v>
      </c>
      <c r="H572" s="135">
        <v>499.1</v>
      </c>
      <c r="I572" s="121">
        <v>0</v>
      </c>
      <c r="J572" s="121">
        <f t="shared" si="73"/>
        <v>99.82000000000001</v>
      </c>
    </row>
    <row r="573" spans="1:10" ht="72">
      <c r="A573" s="134" t="s">
        <v>1467</v>
      </c>
      <c r="B573" s="127" t="s">
        <v>1625</v>
      </c>
      <c r="C573" s="127" t="s">
        <v>852</v>
      </c>
      <c r="D573" s="124" t="s">
        <v>539</v>
      </c>
      <c r="E573" s="127" t="s">
        <v>1502</v>
      </c>
      <c r="F573" s="135"/>
      <c r="G573" s="135">
        <v>750</v>
      </c>
      <c r="H573" s="135">
        <v>741.4</v>
      </c>
      <c r="I573" s="121">
        <v>0</v>
      </c>
      <c r="J573" s="121">
        <f t="shared" si="73"/>
        <v>98.85333333333332</v>
      </c>
    </row>
    <row r="574" spans="1:10" ht="34.5" customHeight="1">
      <c r="A574" s="134" t="s">
        <v>1383</v>
      </c>
      <c r="B574" s="127" t="s">
        <v>1625</v>
      </c>
      <c r="C574" s="127" t="s">
        <v>852</v>
      </c>
      <c r="D574" s="124" t="s">
        <v>539</v>
      </c>
      <c r="E574" s="127" t="s">
        <v>1502</v>
      </c>
      <c r="F574" s="135"/>
      <c r="G574" s="135">
        <v>1200</v>
      </c>
      <c r="H574" s="135">
        <v>1200</v>
      </c>
      <c r="I574" s="121">
        <v>0</v>
      </c>
      <c r="J574" s="121">
        <f t="shared" si="73"/>
        <v>100</v>
      </c>
    </row>
    <row r="575" spans="1:10" ht="36">
      <c r="A575" s="134" t="s">
        <v>1384</v>
      </c>
      <c r="B575" s="127" t="s">
        <v>1625</v>
      </c>
      <c r="C575" s="127" t="s">
        <v>852</v>
      </c>
      <c r="D575" s="124" t="s">
        <v>539</v>
      </c>
      <c r="E575" s="127" t="s">
        <v>1502</v>
      </c>
      <c r="F575" s="135"/>
      <c r="G575" s="135">
        <v>3000</v>
      </c>
      <c r="H575" s="135">
        <v>2993.2</v>
      </c>
      <c r="I575" s="121">
        <v>0</v>
      </c>
      <c r="J575" s="121">
        <f t="shared" si="73"/>
        <v>99.77333333333333</v>
      </c>
    </row>
    <row r="576" spans="1:10" ht="24">
      <c r="A576" s="134" t="s">
        <v>1385</v>
      </c>
      <c r="B576" s="127" t="s">
        <v>1625</v>
      </c>
      <c r="C576" s="127" t="s">
        <v>852</v>
      </c>
      <c r="D576" s="124" t="s">
        <v>539</v>
      </c>
      <c r="E576" s="127" t="s">
        <v>1502</v>
      </c>
      <c r="F576" s="135"/>
      <c r="G576" s="135">
        <v>1792</v>
      </c>
      <c r="H576" s="135">
        <v>1792</v>
      </c>
      <c r="I576" s="121">
        <v>0</v>
      </c>
      <c r="J576" s="121">
        <f t="shared" si="73"/>
        <v>100</v>
      </c>
    </row>
    <row r="577" spans="1:10" ht="36">
      <c r="A577" s="134" t="s">
        <v>1386</v>
      </c>
      <c r="B577" s="127" t="s">
        <v>1625</v>
      </c>
      <c r="C577" s="127" t="s">
        <v>852</v>
      </c>
      <c r="D577" s="124" t="s">
        <v>539</v>
      </c>
      <c r="E577" s="127" t="s">
        <v>1502</v>
      </c>
      <c r="F577" s="135"/>
      <c r="G577" s="135">
        <v>650</v>
      </c>
      <c r="H577" s="135">
        <v>650</v>
      </c>
      <c r="I577" s="121">
        <v>0</v>
      </c>
      <c r="J577" s="121">
        <f t="shared" si="73"/>
        <v>100</v>
      </c>
    </row>
    <row r="578" spans="1:10" ht="24">
      <c r="A578" s="134" t="s">
        <v>862</v>
      </c>
      <c r="B578" s="127" t="s">
        <v>1625</v>
      </c>
      <c r="C578" s="127" t="s">
        <v>852</v>
      </c>
      <c r="D578" s="124" t="s">
        <v>539</v>
      </c>
      <c r="E578" s="127" t="s">
        <v>1502</v>
      </c>
      <c r="F578" s="135"/>
      <c r="G578" s="135">
        <v>300</v>
      </c>
      <c r="H578" s="135">
        <v>300</v>
      </c>
      <c r="I578" s="121">
        <v>0</v>
      </c>
      <c r="J578" s="121">
        <f t="shared" si="73"/>
        <v>100</v>
      </c>
    </row>
    <row r="579" spans="1:10" ht="108">
      <c r="A579" s="134" t="s">
        <v>1387</v>
      </c>
      <c r="B579" s="127" t="s">
        <v>1625</v>
      </c>
      <c r="C579" s="127" t="s">
        <v>852</v>
      </c>
      <c r="D579" s="124" t="s">
        <v>539</v>
      </c>
      <c r="E579" s="127" t="s">
        <v>1502</v>
      </c>
      <c r="F579" s="135"/>
      <c r="G579" s="135">
        <v>100</v>
      </c>
      <c r="H579" s="135">
        <v>100</v>
      </c>
      <c r="I579" s="121">
        <v>0</v>
      </c>
      <c r="J579" s="121">
        <f t="shared" si="73"/>
        <v>100</v>
      </c>
    </row>
    <row r="580" spans="1:10" ht="36">
      <c r="A580" s="134" t="s">
        <v>863</v>
      </c>
      <c r="B580" s="127" t="s">
        <v>1625</v>
      </c>
      <c r="C580" s="127" t="s">
        <v>852</v>
      </c>
      <c r="D580" s="124" t="s">
        <v>539</v>
      </c>
      <c r="E580" s="127" t="s">
        <v>1502</v>
      </c>
      <c r="F580" s="135"/>
      <c r="G580" s="135">
        <v>400</v>
      </c>
      <c r="H580" s="135">
        <v>400</v>
      </c>
      <c r="I580" s="121">
        <v>0</v>
      </c>
      <c r="J580" s="121">
        <f t="shared" si="73"/>
        <v>100</v>
      </c>
    </row>
    <row r="581" spans="1:10" ht="48">
      <c r="A581" s="134" t="s">
        <v>864</v>
      </c>
      <c r="B581" s="127" t="s">
        <v>1625</v>
      </c>
      <c r="C581" s="127" t="s">
        <v>852</v>
      </c>
      <c r="D581" s="124" t="s">
        <v>539</v>
      </c>
      <c r="E581" s="127" t="s">
        <v>1502</v>
      </c>
      <c r="F581" s="135"/>
      <c r="G581" s="135">
        <v>650</v>
      </c>
      <c r="H581" s="135">
        <v>549.9</v>
      </c>
      <c r="I581" s="121">
        <v>0</v>
      </c>
      <c r="J581" s="121">
        <f t="shared" si="73"/>
        <v>84.6</v>
      </c>
    </row>
    <row r="582" spans="1:10" ht="36">
      <c r="A582" s="134" t="s">
        <v>865</v>
      </c>
      <c r="B582" s="127" t="s">
        <v>1625</v>
      </c>
      <c r="C582" s="127" t="s">
        <v>852</v>
      </c>
      <c r="D582" s="124" t="s">
        <v>539</v>
      </c>
      <c r="E582" s="127" t="s">
        <v>1502</v>
      </c>
      <c r="F582" s="135"/>
      <c r="G582" s="135">
        <v>50</v>
      </c>
      <c r="H582" s="135">
        <v>50</v>
      </c>
      <c r="I582" s="121">
        <v>0</v>
      </c>
      <c r="J582" s="121">
        <f t="shared" si="73"/>
        <v>100</v>
      </c>
    </row>
    <row r="583" spans="1:10" ht="48">
      <c r="A583" s="134" t="s">
        <v>1468</v>
      </c>
      <c r="B583" s="127" t="s">
        <v>1625</v>
      </c>
      <c r="C583" s="127" t="s">
        <v>852</v>
      </c>
      <c r="D583" s="124" t="s">
        <v>539</v>
      </c>
      <c r="E583" s="127" t="s">
        <v>1502</v>
      </c>
      <c r="F583" s="135"/>
      <c r="G583" s="135">
        <v>30</v>
      </c>
      <c r="H583" s="135">
        <v>30</v>
      </c>
      <c r="I583" s="121">
        <v>0</v>
      </c>
      <c r="J583" s="121">
        <f t="shared" si="73"/>
        <v>100</v>
      </c>
    </row>
    <row r="584" spans="1:10" ht="24">
      <c r="A584" s="134" t="s">
        <v>866</v>
      </c>
      <c r="B584" s="127" t="s">
        <v>1625</v>
      </c>
      <c r="C584" s="127" t="s">
        <v>852</v>
      </c>
      <c r="D584" s="124" t="s">
        <v>539</v>
      </c>
      <c r="E584" s="127" t="s">
        <v>1502</v>
      </c>
      <c r="F584" s="135"/>
      <c r="G584" s="135">
        <v>100</v>
      </c>
      <c r="H584" s="135">
        <v>99.9</v>
      </c>
      <c r="I584" s="121">
        <v>0</v>
      </c>
      <c r="J584" s="121">
        <f t="shared" si="73"/>
        <v>99.9</v>
      </c>
    </row>
    <row r="585" spans="1:10" ht="24">
      <c r="A585" s="134" t="s">
        <v>867</v>
      </c>
      <c r="B585" s="127" t="s">
        <v>1625</v>
      </c>
      <c r="C585" s="127" t="s">
        <v>852</v>
      </c>
      <c r="D585" s="124" t="s">
        <v>539</v>
      </c>
      <c r="E585" s="127" t="s">
        <v>1502</v>
      </c>
      <c r="F585" s="135"/>
      <c r="G585" s="135">
        <v>200</v>
      </c>
      <c r="H585" s="135">
        <v>200</v>
      </c>
      <c r="I585" s="121">
        <v>0</v>
      </c>
      <c r="J585" s="121">
        <f t="shared" si="73"/>
        <v>100</v>
      </c>
    </row>
    <row r="586" spans="1:10" ht="36">
      <c r="A586" s="134" t="s">
        <v>1020</v>
      </c>
      <c r="B586" s="127" t="s">
        <v>1625</v>
      </c>
      <c r="C586" s="127" t="s">
        <v>852</v>
      </c>
      <c r="D586" s="124" t="s">
        <v>539</v>
      </c>
      <c r="E586" s="127" t="s">
        <v>1502</v>
      </c>
      <c r="F586" s="135"/>
      <c r="G586" s="135">
        <v>350</v>
      </c>
      <c r="H586" s="135">
        <v>350</v>
      </c>
      <c r="I586" s="121">
        <v>0</v>
      </c>
      <c r="J586" s="121">
        <f t="shared" si="73"/>
        <v>100</v>
      </c>
    </row>
    <row r="587" spans="1:10" ht="36">
      <c r="A587" s="134" t="s">
        <v>1469</v>
      </c>
      <c r="B587" s="127" t="s">
        <v>1625</v>
      </c>
      <c r="C587" s="127" t="s">
        <v>852</v>
      </c>
      <c r="D587" s="124" t="s">
        <v>539</v>
      </c>
      <c r="E587" s="127" t="s">
        <v>1502</v>
      </c>
      <c r="F587" s="135"/>
      <c r="G587" s="135">
        <v>90</v>
      </c>
      <c r="H587" s="135">
        <v>0</v>
      </c>
      <c r="I587" s="121">
        <v>0</v>
      </c>
      <c r="J587" s="121">
        <f t="shared" si="73"/>
        <v>0</v>
      </c>
    </row>
    <row r="588" spans="1:10" ht="36">
      <c r="A588" s="134" t="s">
        <v>1470</v>
      </c>
      <c r="B588" s="127" t="s">
        <v>1625</v>
      </c>
      <c r="C588" s="127" t="s">
        <v>852</v>
      </c>
      <c r="D588" s="124" t="s">
        <v>539</v>
      </c>
      <c r="E588" s="127" t="s">
        <v>1502</v>
      </c>
      <c r="F588" s="135"/>
      <c r="G588" s="135">
        <v>350</v>
      </c>
      <c r="H588" s="135">
        <v>346</v>
      </c>
      <c r="I588" s="121">
        <v>0</v>
      </c>
      <c r="J588" s="121">
        <f t="shared" si="73"/>
        <v>98.85714285714286</v>
      </c>
    </row>
    <row r="589" spans="1:10" ht="36">
      <c r="A589" s="151" t="s">
        <v>1254</v>
      </c>
      <c r="B589" s="127" t="s">
        <v>1625</v>
      </c>
      <c r="C589" s="127" t="s">
        <v>852</v>
      </c>
      <c r="D589" s="127" t="s">
        <v>542</v>
      </c>
      <c r="E589" s="127"/>
      <c r="F589" s="132">
        <f>F590</f>
        <v>12524</v>
      </c>
      <c r="G589" s="132">
        <f>G590</f>
        <v>12004</v>
      </c>
      <c r="H589" s="132">
        <f>H590</f>
        <v>11619.9</v>
      </c>
      <c r="I589" s="121">
        <f>H589/F589*100</f>
        <v>92.78106036410092</v>
      </c>
      <c r="J589" s="121">
        <f t="shared" si="73"/>
        <v>96.80023325558147</v>
      </c>
    </row>
    <row r="590" spans="1:10" ht="36">
      <c r="A590" s="129" t="s">
        <v>752</v>
      </c>
      <c r="B590" s="127" t="s">
        <v>1625</v>
      </c>
      <c r="C590" s="127" t="s">
        <v>852</v>
      </c>
      <c r="D590" s="127" t="s">
        <v>542</v>
      </c>
      <c r="E590" s="127" t="s">
        <v>751</v>
      </c>
      <c r="F590" s="132">
        <f>F591+F592</f>
        <v>12524</v>
      </c>
      <c r="G590" s="132">
        <f>G591</f>
        <v>12004</v>
      </c>
      <c r="H590" s="132">
        <f>H591</f>
        <v>11619.9</v>
      </c>
      <c r="I590" s="121">
        <f>H590/F590*100</f>
        <v>92.78106036410092</v>
      </c>
      <c r="J590" s="121">
        <f t="shared" si="73"/>
        <v>96.80023325558147</v>
      </c>
    </row>
    <row r="591" spans="1:10" ht="24">
      <c r="A591" s="134" t="s">
        <v>753</v>
      </c>
      <c r="B591" s="127" t="s">
        <v>1625</v>
      </c>
      <c r="C591" s="127" t="s">
        <v>852</v>
      </c>
      <c r="D591" s="127" t="s">
        <v>542</v>
      </c>
      <c r="E591" s="127" t="s">
        <v>1436</v>
      </c>
      <c r="F591" s="135">
        <f>12524</f>
        <v>12524</v>
      </c>
      <c r="G591" s="135">
        <v>12004</v>
      </c>
      <c r="H591" s="135">
        <v>11619.9</v>
      </c>
      <c r="I591" s="121">
        <f>H591/F591*100</f>
        <v>92.78106036410092</v>
      </c>
      <c r="J591" s="121">
        <f t="shared" si="73"/>
        <v>96.80023325558147</v>
      </c>
    </row>
    <row r="592" spans="1:10" ht="36">
      <c r="A592" s="134" t="s">
        <v>1396</v>
      </c>
      <c r="B592" s="127" t="s">
        <v>1625</v>
      </c>
      <c r="C592" s="127" t="s">
        <v>852</v>
      </c>
      <c r="D592" s="127" t="s">
        <v>542</v>
      </c>
      <c r="E592" s="127" t="s">
        <v>1436</v>
      </c>
      <c r="F592" s="135"/>
      <c r="G592" s="135">
        <v>60</v>
      </c>
      <c r="H592" s="135">
        <v>60</v>
      </c>
      <c r="I592" s="121">
        <v>0</v>
      </c>
      <c r="J592" s="121">
        <f aca="true" t="shared" si="80" ref="J592:J655">H592/G592*100</f>
        <v>100</v>
      </c>
    </row>
    <row r="593" spans="1:10" ht="48">
      <c r="A593" s="129" t="s">
        <v>1029</v>
      </c>
      <c r="B593" s="124" t="s">
        <v>1625</v>
      </c>
      <c r="C593" s="124" t="s">
        <v>852</v>
      </c>
      <c r="D593" s="124" t="s">
        <v>1448</v>
      </c>
      <c r="E593" s="124"/>
      <c r="F593" s="132">
        <f>F594+F600+F602+F609+F597</f>
        <v>132890</v>
      </c>
      <c r="G593" s="132">
        <f>G594+G600+G602+G609</f>
        <v>251830.9</v>
      </c>
      <c r="H593" s="132">
        <f>H594+H600+H602+H609</f>
        <v>245926.3</v>
      </c>
      <c r="I593" s="121">
        <f aca="true" t="shared" si="81" ref="I593:I603">H593/F593*100</f>
        <v>185.06004966513657</v>
      </c>
      <c r="J593" s="121">
        <f t="shared" si="80"/>
        <v>97.6553314148502</v>
      </c>
    </row>
    <row r="594" spans="1:10" ht="84" hidden="1">
      <c r="A594" s="134" t="s">
        <v>1300</v>
      </c>
      <c r="B594" s="124" t="s">
        <v>1625</v>
      </c>
      <c r="C594" s="124" t="s">
        <v>852</v>
      </c>
      <c r="D594" s="124" t="s">
        <v>654</v>
      </c>
      <c r="E594" s="124"/>
      <c r="F594" s="132">
        <f aca="true" t="shared" si="82" ref="F594:H595">F595</f>
        <v>0</v>
      </c>
      <c r="G594" s="132">
        <f t="shared" si="82"/>
        <v>0</v>
      </c>
      <c r="H594" s="132">
        <f t="shared" si="82"/>
        <v>0</v>
      </c>
      <c r="I594" s="121" t="e">
        <f t="shared" si="81"/>
        <v>#DIV/0!</v>
      </c>
      <c r="J594" s="121" t="e">
        <f t="shared" si="80"/>
        <v>#DIV/0!</v>
      </c>
    </row>
    <row r="595" spans="1:10" ht="36" hidden="1">
      <c r="A595" s="129" t="s">
        <v>752</v>
      </c>
      <c r="B595" s="124" t="s">
        <v>1625</v>
      </c>
      <c r="C595" s="124" t="s">
        <v>852</v>
      </c>
      <c r="D595" s="124" t="s">
        <v>654</v>
      </c>
      <c r="E595" s="124" t="s">
        <v>751</v>
      </c>
      <c r="F595" s="132">
        <f t="shared" si="82"/>
        <v>0</v>
      </c>
      <c r="G595" s="132">
        <f t="shared" si="82"/>
        <v>0</v>
      </c>
      <c r="H595" s="132">
        <f t="shared" si="82"/>
        <v>0</v>
      </c>
      <c r="I595" s="121" t="e">
        <f t="shared" si="81"/>
        <v>#DIV/0!</v>
      </c>
      <c r="J595" s="121" t="e">
        <f t="shared" si="80"/>
        <v>#DIV/0!</v>
      </c>
    </row>
    <row r="596" spans="1:10" ht="15" hidden="1">
      <c r="A596" s="134" t="s">
        <v>1435</v>
      </c>
      <c r="B596" s="124" t="s">
        <v>1625</v>
      </c>
      <c r="C596" s="124" t="s">
        <v>852</v>
      </c>
      <c r="D596" s="124" t="s">
        <v>654</v>
      </c>
      <c r="E596" s="124" t="s">
        <v>1436</v>
      </c>
      <c r="F596" s="135">
        <f>2072-2072</f>
        <v>0</v>
      </c>
      <c r="G596" s="135">
        <f>2072-2072</f>
        <v>0</v>
      </c>
      <c r="H596" s="135">
        <f>2072-2072</f>
        <v>0</v>
      </c>
      <c r="I596" s="121" t="e">
        <f t="shared" si="81"/>
        <v>#DIV/0!</v>
      </c>
      <c r="J596" s="121" t="e">
        <f t="shared" si="80"/>
        <v>#DIV/0!</v>
      </c>
    </row>
    <row r="597" spans="1:10" ht="84">
      <c r="A597" s="134" t="s">
        <v>1300</v>
      </c>
      <c r="B597" s="124" t="s">
        <v>1625</v>
      </c>
      <c r="C597" s="124" t="s">
        <v>852</v>
      </c>
      <c r="D597" s="124" t="s">
        <v>654</v>
      </c>
      <c r="E597" s="124"/>
      <c r="F597" s="132">
        <f>F598</f>
        <v>2072</v>
      </c>
      <c r="G597" s="135"/>
      <c r="H597" s="135"/>
      <c r="I597" s="121">
        <f t="shared" si="81"/>
        <v>0</v>
      </c>
      <c r="J597" s="121">
        <v>0</v>
      </c>
    </row>
    <row r="598" spans="1:10" ht="36">
      <c r="A598" s="129" t="s">
        <v>752</v>
      </c>
      <c r="B598" s="124" t="s">
        <v>1625</v>
      </c>
      <c r="C598" s="124" t="s">
        <v>852</v>
      </c>
      <c r="D598" s="124" t="s">
        <v>654</v>
      </c>
      <c r="E598" s="124" t="s">
        <v>751</v>
      </c>
      <c r="F598" s="132">
        <f>F599</f>
        <v>2072</v>
      </c>
      <c r="G598" s="135"/>
      <c r="H598" s="135"/>
      <c r="I598" s="121">
        <f t="shared" si="81"/>
        <v>0</v>
      </c>
      <c r="J598" s="121">
        <v>0</v>
      </c>
    </row>
    <row r="599" spans="1:10" ht="15.75">
      <c r="A599" s="134" t="s">
        <v>1435</v>
      </c>
      <c r="B599" s="124" t="s">
        <v>1625</v>
      </c>
      <c r="C599" s="124" t="s">
        <v>852</v>
      </c>
      <c r="D599" s="124" t="s">
        <v>654</v>
      </c>
      <c r="E599" s="124" t="s">
        <v>1436</v>
      </c>
      <c r="F599" s="135">
        <v>2072</v>
      </c>
      <c r="G599" s="135"/>
      <c r="H599" s="135"/>
      <c r="I599" s="121">
        <f t="shared" si="81"/>
        <v>0</v>
      </c>
      <c r="J599" s="121">
        <v>0</v>
      </c>
    </row>
    <row r="600" spans="1:10" ht="36">
      <c r="A600" s="129" t="s">
        <v>752</v>
      </c>
      <c r="B600" s="127" t="s">
        <v>1625</v>
      </c>
      <c r="C600" s="127" t="s">
        <v>852</v>
      </c>
      <c r="D600" s="124" t="s">
        <v>541</v>
      </c>
      <c r="E600" s="127" t="s">
        <v>751</v>
      </c>
      <c r="F600" s="132">
        <f>F601</f>
        <v>250</v>
      </c>
      <c r="G600" s="132">
        <f>G601</f>
        <v>250</v>
      </c>
      <c r="H600" s="132">
        <f>H601</f>
        <v>0</v>
      </c>
      <c r="I600" s="121">
        <f t="shared" si="81"/>
        <v>0</v>
      </c>
      <c r="J600" s="121">
        <f t="shared" si="80"/>
        <v>0</v>
      </c>
    </row>
    <row r="601" spans="1:10" ht="15.75">
      <c r="A601" s="134" t="s">
        <v>996</v>
      </c>
      <c r="B601" s="127" t="s">
        <v>1625</v>
      </c>
      <c r="C601" s="127" t="s">
        <v>852</v>
      </c>
      <c r="D601" s="124" t="s">
        <v>541</v>
      </c>
      <c r="E601" s="127" t="s">
        <v>1502</v>
      </c>
      <c r="F601" s="135">
        <v>250</v>
      </c>
      <c r="G601" s="135">
        <v>250</v>
      </c>
      <c r="H601" s="135">
        <v>0</v>
      </c>
      <c r="I601" s="121">
        <f t="shared" si="81"/>
        <v>0</v>
      </c>
      <c r="J601" s="121">
        <f t="shared" si="80"/>
        <v>0</v>
      </c>
    </row>
    <row r="602" spans="1:10" ht="36">
      <c r="A602" s="129" t="s">
        <v>752</v>
      </c>
      <c r="B602" s="127" t="s">
        <v>1625</v>
      </c>
      <c r="C602" s="127" t="s">
        <v>852</v>
      </c>
      <c r="D602" s="127" t="s">
        <v>543</v>
      </c>
      <c r="E602" s="127" t="s">
        <v>751</v>
      </c>
      <c r="F602" s="132">
        <f>F603+F608</f>
        <v>101248</v>
      </c>
      <c r="G602" s="132">
        <f>G603+G608</f>
        <v>225919</v>
      </c>
      <c r="H602" s="132">
        <f>H603+H608</f>
        <v>220423.8</v>
      </c>
      <c r="I602" s="121">
        <f t="shared" si="81"/>
        <v>217.70681890012642</v>
      </c>
      <c r="J602" s="121">
        <f t="shared" si="80"/>
        <v>97.56762379436877</v>
      </c>
    </row>
    <row r="603" spans="1:10" ht="24">
      <c r="A603" s="134" t="s">
        <v>753</v>
      </c>
      <c r="B603" s="127" t="s">
        <v>1625</v>
      </c>
      <c r="C603" s="127" t="s">
        <v>852</v>
      </c>
      <c r="D603" s="127" t="s">
        <v>543</v>
      </c>
      <c r="E603" s="127" t="s">
        <v>1436</v>
      </c>
      <c r="F603" s="135">
        <f>73710</f>
        <v>73710</v>
      </c>
      <c r="G603" s="135">
        <f>73710+132618+G604+G605+G606+G607-6258-900</f>
        <v>199535</v>
      </c>
      <c r="H603" s="135">
        <v>194906.9</v>
      </c>
      <c r="I603" s="121">
        <f t="shared" si="81"/>
        <v>264.4239587572921</v>
      </c>
      <c r="J603" s="121">
        <f t="shared" si="80"/>
        <v>97.68055729571253</v>
      </c>
    </row>
    <row r="604" spans="1:10" ht="36">
      <c r="A604" s="134" t="s">
        <v>1397</v>
      </c>
      <c r="B604" s="127" t="s">
        <v>1625</v>
      </c>
      <c r="C604" s="127" t="s">
        <v>852</v>
      </c>
      <c r="D604" s="127" t="s">
        <v>543</v>
      </c>
      <c r="E604" s="127" t="s">
        <v>1436</v>
      </c>
      <c r="F604" s="135">
        <v>0</v>
      </c>
      <c r="G604" s="135">
        <v>240</v>
      </c>
      <c r="H604" s="135">
        <v>240</v>
      </c>
      <c r="I604" s="121">
        <v>0</v>
      </c>
      <c r="J604" s="121">
        <f t="shared" si="80"/>
        <v>100</v>
      </c>
    </row>
    <row r="605" spans="1:10" ht="36">
      <c r="A605" s="134" t="s">
        <v>600</v>
      </c>
      <c r="B605" s="127" t="s">
        <v>1625</v>
      </c>
      <c r="C605" s="127" t="s">
        <v>852</v>
      </c>
      <c r="D605" s="127" t="s">
        <v>543</v>
      </c>
      <c r="E605" s="127" t="s">
        <v>1436</v>
      </c>
      <c r="F605" s="135">
        <v>0</v>
      </c>
      <c r="G605" s="135">
        <v>65</v>
      </c>
      <c r="H605" s="135">
        <v>65</v>
      </c>
      <c r="I605" s="121">
        <v>0</v>
      </c>
      <c r="J605" s="121">
        <f t="shared" si="80"/>
        <v>100</v>
      </c>
    </row>
    <row r="606" spans="1:10" ht="60">
      <c r="A606" s="134" t="s">
        <v>1388</v>
      </c>
      <c r="B606" s="127" t="s">
        <v>1625</v>
      </c>
      <c r="C606" s="127" t="s">
        <v>852</v>
      </c>
      <c r="D606" s="127" t="s">
        <v>543</v>
      </c>
      <c r="E606" s="127" t="s">
        <v>1436</v>
      </c>
      <c r="F606" s="135">
        <v>0</v>
      </c>
      <c r="G606" s="135">
        <v>30</v>
      </c>
      <c r="H606" s="135">
        <v>30</v>
      </c>
      <c r="I606" s="121">
        <v>0</v>
      </c>
      <c r="J606" s="121">
        <f t="shared" si="80"/>
        <v>100</v>
      </c>
    </row>
    <row r="607" spans="1:10" ht="48">
      <c r="A607" s="134" t="s">
        <v>1389</v>
      </c>
      <c r="B607" s="127" t="s">
        <v>1625</v>
      </c>
      <c r="C607" s="127" t="s">
        <v>852</v>
      </c>
      <c r="D607" s="127" t="s">
        <v>543</v>
      </c>
      <c r="E607" s="127" t="s">
        <v>1436</v>
      </c>
      <c r="F607" s="135">
        <v>0</v>
      </c>
      <c r="G607" s="135">
        <v>30</v>
      </c>
      <c r="H607" s="135">
        <v>30</v>
      </c>
      <c r="I607" s="121">
        <v>0</v>
      </c>
      <c r="J607" s="121">
        <f t="shared" si="80"/>
        <v>100</v>
      </c>
    </row>
    <row r="608" spans="1:10" ht="15.75">
      <c r="A608" s="134" t="s">
        <v>996</v>
      </c>
      <c r="B608" s="127" t="s">
        <v>1625</v>
      </c>
      <c r="C608" s="127" t="s">
        <v>852</v>
      </c>
      <c r="D608" s="127" t="s">
        <v>543</v>
      </c>
      <c r="E608" s="127" t="s">
        <v>1502</v>
      </c>
      <c r="F608" s="135">
        <f>27538</f>
        <v>27538</v>
      </c>
      <c r="G608" s="135">
        <f>27538-2054+900</f>
        <v>26384</v>
      </c>
      <c r="H608" s="135">
        <v>25516.9</v>
      </c>
      <c r="I608" s="121">
        <f>H608/F608*100</f>
        <v>92.66068705062096</v>
      </c>
      <c r="J608" s="121">
        <f t="shared" si="80"/>
        <v>96.71353850818679</v>
      </c>
    </row>
    <row r="609" spans="1:10" ht="36">
      <c r="A609" s="129" t="s">
        <v>752</v>
      </c>
      <c r="B609" s="127" t="s">
        <v>1625</v>
      </c>
      <c r="C609" s="127" t="s">
        <v>852</v>
      </c>
      <c r="D609" s="127" t="s">
        <v>544</v>
      </c>
      <c r="E609" s="127" t="s">
        <v>751</v>
      </c>
      <c r="F609" s="132">
        <f>F610</f>
        <v>29320</v>
      </c>
      <c r="G609" s="132">
        <f>G610</f>
        <v>25661.899999999998</v>
      </c>
      <c r="H609" s="132">
        <f>H610</f>
        <v>25502.5</v>
      </c>
      <c r="I609" s="121">
        <f>H609/F609*100</f>
        <v>86.97987721691678</v>
      </c>
      <c r="J609" s="121">
        <f t="shared" si="80"/>
        <v>99.37884568173051</v>
      </c>
    </row>
    <row r="610" spans="1:10" ht="15.75">
      <c r="A610" s="134" t="s">
        <v>1435</v>
      </c>
      <c r="B610" s="127" t="s">
        <v>1625</v>
      </c>
      <c r="C610" s="127" t="s">
        <v>852</v>
      </c>
      <c r="D610" s="127" t="s">
        <v>544</v>
      </c>
      <c r="E610" s="127" t="s">
        <v>1436</v>
      </c>
      <c r="F610" s="135">
        <f>29320+F611+F612+F613</f>
        <v>29320</v>
      </c>
      <c r="G610" s="135">
        <f>29320+G611-1891-5500+G612+G613+900</f>
        <v>25661.899999999998</v>
      </c>
      <c r="H610" s="135">
        <v>25502.5</v>
      </c>
      <c r="I610" s="121">
        <f>H610/F610*100</f>
        <v>86.97987721691678</v>
      </c>
      <c r="J610" s="121">
        <f t="shared" si="80"/>
        <v>99.37884568173051</v>
      </c>
    </row>
    <row r="611" spans="1:10" ht="36">
      <c r="A611" s="134" t="s">
        <v>601</v>
      </c>
      <c r="B611" s="127" t="s">
        <v>1625</v>
      </c>
      <c r="C611" s="127" t="s">
        <v>852</v>
      </c>
      <c r="D611" s="127" t="s">
        <v>544</v>
      </c>
      <c r="E611" s="127" t="s">
        <v>1436</v>
      </c>
      <c r="F611" s="135">
        <v>0</v>
      </c>
      <c r="G611" s="135">
        <v>471</v>
      </c>
      <c r="H611" s="135">
        <v>400</v>
      </c>
      <c r="I611" s="121">
        <v>0</v>
      </c>
      <c r="J611" s="121">
        <f t="shared" si="80"/>
        <v>84.92569002123143</v>
      </c>
    </row>
    <row r="612" spans="1:10" ht="36">
      <c r="A612" s="134" t="s">
        <v>868</v>
      </c>
      <c r="B612" s="127" t="s">
        <v>1625</v>
      </c>
      <c r="C612" s="127" t="s">
        <v>852</v>
      </c>
      <c r="D612" s="127" t="s">
        <v>544</v>
      </c>
      <c r="E612" s="127" t="s">
        <v>1436</v>
      </c>
      <c r="F612" s="135">
        <v>0</v>
      </c>
      <c r="G612" s="135">
        <v>2273.8</v>
      </c>
      <c r="H612" s="135">
        <v>2273.8</v>
      </c>
      <c r="I612" s="121">
        <v>0</v>
      </c>
      <c r="J612" s="121">
        <f t="shared" si="80"/>
        <v>100</v>
      </c>
    </row>
    <row r="613" spans="1:10" ht="48">
      <c r="A613" s="134" t="s">
        <v>1302</v>
      </c>
      <c r="B613" s="127" t="s">
        <v>1625</v>
      </c>
      <c r="C613" s="127" t="s">
        <v>852</v>
      </c>
      <c r="D613" s="127" t="s">
        <v>544</v>
      </c>
      <c r="E613" s="127" t="s">
        <v>1436</v>
      </c>
      <c r="F613" s="135">
        <v>0</v>
      </c>
      <c r="G613" s="135">
        <v>88.1</v>
      </c>
      <c r="H613" s="135">
        <v>88.1</v>
      </c>
      <c r="I613" s="121">
        <v>0</v>
      </c>
      <c r="J613" s="121">
        <f t="shared" si="80"/>
        <v>100</v>
      </c>
    </row>
    <row r="614" spans="1:10" ht="36">
      <c r="A614" s="137" t="s">
        <v>1455</v>
      </c>
      <c r="B614" s="127" t="s">
        <v>1625</v>
      </c>
      <c r="C614" s="127" t="s">
        <v>852</v>
      </c>
      <c r="D614" s="127" t="s">
        <v>1241</v>
      </c>
      <c r="E614" s="127"/>
      <c r="F614" s="132">
        <f aca="true" t="shared" si="83" ref="F614:H615">F615</f>
        <v>0</v>
      </c>
      <c r="G614" s="132">
        <f t="shared" si="83"/>
        <v>1900</v>
      </c>
      <c r="H614" s="132">
        <f t="shared" si="83"/>
        <v>1592.2</v>
      </c>
      <c r="I614" s="121">
        <v>0</v>
      </c>
      <c r="J614" s="121">
        <f t="shared" si="80"/>
        <v>83.80000000000001</v>
      </c>
    </row>
    <row r="615" spans="1:10" ht="48">
      <c r="A615" s="129" t="s">
        <v>1457</v>
      </c>
      <c r="B615" s="127" t="s">
        <v>1625</v>
      </c>
      <c r="C615" s="127" t="s">
        <v>852</v>
      </c>
      <c r="D615" s="127" t="s">
        <v>1240</v>
      </c>
      <c r="E615" s="127"/>
      <c r="F615" s="132">
        <f t="shared" si="83"/>
        <v>0</v>
      </c>
      <c r="G615" s="132">
        <f t="shared" si="83"/>
        <v>1900</v>
      </c>
      <c r="H615" s="132">
        <f t="shared" si="83"/>
        <v>1592.2</v>
      </c>
      <c r="I615" s="121">
        <v>0</v>
      </c>
      <c r="J615" s="121">
        <f t="shared" si="80"/>
        <v>83.80000000000001</v>
      </c>
    </row>
    <row r="616" spans="1:10" ht="36">
      <c r="A616" s="129" t="s">
        <v>752</v>
      </c>
      <c r="B616" s="127" t="s">
        <v>1625</v>
      </c>
      <c r="C616" s="127" t="s">
        <v>852</v>
      </c>
      <c r="D616" s="127" t="s">
        <v>1251</v>
      </c>
      <c r="E616" s="127" t="s">
        <v>751</v>
      </c>
      <c r="F616" s="132">
        <f>F617+F620</f>
        <v>0</v>
      </c>
      <c r="G616" s="132">
        <f>G617+G620</f>
        <v>1900</v>
      </c>
      <c r="H616" s="132">
        <f>H617+H620</f>
        <v>1592.2</v>
      </c>
      <c r="I616" s="121">
        <v>0</v>
      </c>
      <c r="J616" s="121">
        <f t="shared" si="80"/>
        <v>83.80000000000001</v>
      </c>
    </row>
    <row r="617" spans="1:10" ht="24">
      <c r="A617" s="134" t="s">
        <v>753</v>
      </c>
      <c r="B617" s="127" t="s">
        <v>1625</v>
      </c>
      <c r="C617" s="127" t="s">
        <v>852</v>
      </c>
      <c r="D617" s="127" t="s">
        <v>1251</v>
      </c>
      <c r="E617" s="127" t="s">
        <v>1436</v>
      </c>
      <c r="F617" s="132">
        <f>F618+F619</f>
        <v>0</v>
      </c>
      <c r="G617" s="132">
        <f>G618+G619</f>
        <v>62.400000000000006</v>
      </c>
      <c r="H617" s="132">
        <f>H618+H619</f>
        <v>47</v>
      </c>
      <c r="I617" s="121">
        <v>0</v>
      </c>
      <c r="J617" s="121">
        <f t="shared" si="80"/>
        <v>75.3205128205128</v>
      </c>
    </row>
    <row r="618" spans="1:10" ht="48">
      <c r="A618" s="134" t="s">
        <v>1303</v>
      </c>
      <c r="B618" s="127" t="s">
        <v>1625</v>
      </c>
      <c r="C618" s="127" t="s">
        <v>852</v>
      </c>
      <c r="D618" s="127" t="s">
        <v>1251</v>
      </c>
      <c r="E618" s="127" t="s">
        <v>1436</v>
      </c>
      <c r="F618" s="135">
        <v>0</v>
      </c>
      <c r="G618" s="135">
        <f>83.2-57</f>
        <v>26.200000000000003</v>
      </c>
      <c r="H618" s="135">
        <f>83.2-57</f>
        <v>26.200000000000003</v>
      </c>
      <c r="I618" s="121">
        <v>0</v>
      </c>
      <c r="J618" s="121">
        <f t="shared" si="80"/>
        <v>100</v>
      </c>
    </row>
    <row r="619" spans="1:10" ht="36">
      <c r="A619" s="134" t="s">
        <v>1304</v>
      </c>
      <c r="B619" s="127" t="s">
        <v>1625</v>
      </c>
      <c r="C619" s="127" t="s">
        <v>852</v>
      </c>
      <c r="D619" s="127" t="s">
        <v>1251</v>
      </c>
      <c r="E619" s="127" t="s">
        <v>1436</v>
      </c>
      <c r="F619" s="135">
        <v>0</v>
      </c>
      <c r="G619" s="135">
        <v>36.2</v>
      </c>
      <c r="H619" s="135">
        <v>20.8</v>
      </c>
      <c r="I619" s="121">
        <v>0</v>
      </c>
      <c r="J619" s="121">
        <f t="shared" si="80"/>
        <v>57.4585635359116</v>
      </c>
    </row>
    <row r="620" spans="1:10" ht="24">
      <c r="A620" s="134" t="s">
        <v>1682</v>
      </c>
      <c r="B620" s="127" t="s">
        <v>1625</v>
      </c>
      <c r="C620" s="127" t="s">
        <v>852</v>
      </c>
      <c r="D620" s="127" t="s">
        <v>1251</v>
      </c>
      <c r="E620" s="127" t="s">
        <v>1502</v>
      </c>
      <c r="F620" s="132">
        <f>F621</f>
        <v>0</v>
      </c>
      <c r="G620" s="132">
        <f>G621</f>
        <v>1837.6</v>
      </c>
      <c r="H620" s="132">
        <f>H621</f>
        <v>1545.2</v>
      </c>
      <c r="I620" s="121">
        <v>0</v>
      </c>
      <c r="J620" s="121">
        <f t="shared" si="80"/>
        <v>84.08794079233783</v>
      </c>
    </row>
    <row r="621" spans="1:10" ht="48">
      <c r="A621" s="134" t="s">
        <v>1305</v>
      </c>
      <c r="B621" s="127" t="s">
        <v>1625</v>
      </c>
      <c r="C621" s="127" t="s">
        <v>852</v>
      </c>
      <c r="D621" s="127" t="s">
        <v>1251</v>
      </c>
      <c r="E621" s="127" t="s">
        <v>1502</v>
      </c>
      <c r="F621" s="135">
        <v>0</v>
      </c>
      <c r="G621" s="135">
        <f>1780.6+57</f>
        <v>1837.6</v>
      </c>
      <c r="H621" s="135">
        <v>1545.2</v>
      </c>
      <c r="I621" s="121">
        <v>0</v>
      </c>
      <c r="J621" s="121">
        <f t="shared" si="80"/>
        <v>84.08794079233783</v>
      </c>
    </row>
    <row r="622" spans="1:10" ht="36">
      <c r="A622" s="130" t="s">
        <v>1052</v>
      </c>
      <c r="B622" s="127" t="s">
        <v>1625</v>
      </c>
      <c r="C622" s="127" t="s">
        <v>852</v>
      </c>
      <c r="D622" s="127" t="s">
        <v>1053</v>
      </c>
      <c r="E622" s="127"/>
      <c r="F622" s="132">
        <f>F623</f>
        <v>0</v>
      </c>
      <c r="G622" s="132">
        <f>G623</f>
        <v>2000</v>
      </c>
      <c r="H622" s="132">
        <f>H623</f>
        <v>1999.6</v>
      </c>
      <c r="I622" s="121">
        <v>0</v>
      </c>
      <c r="J622" s="121">
        <f t="shared" si="80"/>
        <v>99.97999999999999</v>
      </c>
    </row>
    <row r="623" spans="1:10" ht="36">
      <c r="A623" s="129" t="s">
        <v>752</v>
      </c>
      <c r="B623" s="127" t="s">
        <v>1625</v>
      </c>
      <c r="C623" s="127" t="s">
        <v>852</v>
      </c>
      <c r="D623" s="127" t="s">
        <v>1053</v>
      </c>
      <c r="E623" s="127" t="s">
        <v>751</v>
      </c>
      <c r="F623" s="132">
        <f>F624+F628</f>
        <v>0</v>
      </c>
      <c r="G623" s="132">
        <f>G624+G628</f>
        <v>2000</v>
      </c>
      <c r="H623" s="132">
        <f>H624+H628</f>
        <v>1999.6</v>
      </c>
      <c r="I623" s="121">
        <v>0</v>
      </c>
      <c r="J623" s="121">
        <f t="shared" si="80"/>
        <v>99.97999999999999</v>
      </c>
    </row>
    <row r="624" spans="1:10" ht="24">
      <c r="A624" s="134" t="s">
        <v>753</v>
      </c>
      <c r="B624" s="127" t="s">
        <v>1625</v>
      </c>
      <c r="C624" s="127" t="s">
        <v>852</v>
      </c>
      <c r="D624" s="127" t="s">
        <v>1053</v>
      </c>
      <c r="E624" s="127" t="s">
        <v>1436</v>
      </c>
      <c r="F624" s="135">
        <v>0</v>
      </c>
      <c r="G624" s="135">
        <f>G625+G626+G627</f>
        <v>600</v>
      </c>
      <c r="H624" s="135">
        <f>H625+H626+H627</f>
        <v>600</v>
      </c>
      <c r="I624" s="121">
        <v>0</v>
      </c>
      <c r="J624" s="121">
        <f t="shared" si="80"/>
        <v>100</v>
      </c>
    </row>
    <row r="625" spans="1:10" ht="36">
      <c r="A625" s="129" t="s">
        <v>603</v>
      </c>
      <c r="B625" s="127" t="s">
        <v>1625</v>
      </c>
      <c r="C625" s="127" t="s">
        <v>852</v>
      </c>
      <c r="D625" s="127" t="s">
        <v>1053</v>
      </c>
      <c r="E625" s="127" t="s">
        <v>1436</v>
      </c>
      <c r="F625" s="135">
        <v>0</v>
      </c>
      <c r="G625" s="135">
        <v>200</v>
      </c>
      <c r="H625" s="135">
        <v>200</v>
      </c>
      <c r="I625" s="121">
        <v>0</v>
      </c>
      <c r="J625" s="121">
        <f t="shared" si="80"/>
        <v>100</v>
      </c>
    </row>
    <row r="626" spans="1:10" ht="48">
      <c r="A626" s="129" t="s">
        <v>1471</v>
      </c>
      <c r="B626" s="127" t="s">
        <v>1625</v>
      </c>
      <c r="C626" s="127" t="s">
        <v>852</v>
      </c>
      <c r="D626" s="127" t="s">
        <v>1053</v>
      </c>
      <c r="E626" s="127" t="s">
        <v>1436</v>
      </c>
      <c r="F626" s="135">
        <v>0</v>
      </c>
      <c r="G626" s="135">
        <v>200</v>
      </c>
      <c r="H626" s="135">
        <v>200</v>
      </c>
      <c r="I626" s="121">
        <v>0</v>
      </c>
      <c r="J626" s="121">
        <f t="shared" si="80"/>
        <v>100</v>
      </c>
    </row>
    <row r="627" spans="1:10" ht="60">
      <c r="A627" s="129" t="s">
        <v>1472</v>
      </c>
      <c r="B627" s="127" t="s">
        <v>1625</v>
      </c>
      <c r="C627" s="127" t="s">
        <v>852</v>
      </c>
      <c r="D627" s="127" t="s">
        <v>1053</v>
      </c>
      <c r="E627" s="127" t="s">
        <v>1436</v>
      </c>
      <c r="F627" s="135">
        <v>0</v>
      </c>
      <c r="G627" s="135">
        <v>200</v>
      </c>
      <c r="H627" s="135">
        <v>200</v>
      </c>
      <c r="I627" s="121">
        <v>0</v>
      </c>
      <c r="J627" s="121">
        <f t="shared" si="80"/>
        <v>100</v>
      </c>
    </row>
    <row r="628" spans="1:10" ht="24">
      <c r="A628" s="134" t="s">
        <v>1682</v>
      </c>
      <c r="B628" s="127" t="s">
        <v>1625</v>
      </c>
      <c r="C628" s="127" t="s">
        <v>852</v>
      </c>
      <c r="D628" s="127" t="s">
        <v>1053</v>
      </c>
      <c r="E628" s="127" t="s">
        <v>1502</v>
      </c>
      <c r="F628" s="154">
        <f>F629+F630</f>
        <v>0</v>
      </c>
      <c r="G628" s="154">
        <f>G629+G630</f>
        <v>1400</v>
      </c>
      <c r="H628" s="154">
        <f>H629+H630</f>
        <v>1399.6</v>
      </c>
      <c r="I628" s="121">
        <v>0</v>
      </c>
      <c r="J628" s="121">
        <f t="shared" si="80"/>
        <v>99.97142857142856</v>
      </c>
    </row>
    <row r="629" spans="1:10" ht="72">
      <c r="A629" s="129" t="s">
        <v>1473</v>
      </c>
      <c r="B629" s="127" t="s">
        <v>1625</v>
      </c>
      <c r="C629" s="127" t="s">
        <v>852</v>
      </c>
      <c r="D629" s="127" t="s">
        <v>1053</v>
      </c>
      <c r="E629" s="127" t="s">
        <v>1502</v>
      </c>
      <c r="F629" s="135">
        <v>0</v>
      </c>
      <c r="G629" s="135">
        <f>800+200</f>
        <v>1000</v>
      </c>
      <c r="H629" s="135">
        <f>800+200</f>
        <v>1000</v>
      </c>
      <c r="I629" s="121">
        <v>0</v>
      </c>
      <c r="J629" s="121">
        <f t="shared" si="80"/>
        <v>100</v>
      </c>
    </row>
    <row r="630" spans="1:10" ht="36">
      <c r="A630" s="134" t="s">
        <v>394</v>
      </c>
      <c r="B630" s="127" t="s">
        <v>1625</v>
      </c>
      <c r="C630" s="127" t="s">
        <v>852</v>
      </c>
      <c r="D630" s="127" t="s">
        <v>1053</v>
      </c>
      <c r="E630" s="127" t="s">
        <v>1502</v>
      </c>
      <c r="F630" s="135">
        <v>0</v>
      </c>
      <c r="G630" s="135">
        <v>400</v>
      </c>
      <c r="H630" s="135">
        <v>399.6</v>
      </c>
      <c r="I630" s="121">
        <v>0</v>
      </c>
      <c r="J630" s="121">
        <f t="shared" si="80"/>
        <v>99.9</v>
      </c>
    </row>
    <row r="631" spans="1:10" ht="24">
      <c r="A631" s="133" t="s">
        <v>151</v>
      </c>
      <c r="B631" s="124" t="s">
        <v>1625</v>
      </c>
      <c r="C631" s="124" t="s">
        <v>1623</v>
      </c>
      <c r="D631" s="127"/>
      <c r="E631" s="127"/>
      <c r="F631" s="132">
        <f aca="true" t="shared" si="84" ref="F631:H634">F632</f>
        <v>300</v>
      </c>
      <c r="G631" s="132">
        <f t="shared" si="84"/>
        <v>300</v>
      </c>
      <c r="H631" s="132">
        <f t="shared" si="84"/>
        <v>270.8</v>
      </c>
      <c r="I631" s="121">
        <f aca="true" t="shared" si="85" ref="I631:I638">H631/F631*100</f>
        <v>90.26666666666668</v>
      </c>
      <c r="J631" s="121">
        <f t="shared" si="80"/>
        <v>90.26666666666668</v>
      </c>
    </row>
    <row r="632" spans="1:10" ht="43.5" customHeight="1">
      <c r="A632" s="141" t="s">
        <v>802</v>
      </c>
      <c r="B632" s="124" t="s">
        <v>1625</v>
      </c>
      <c r="C632" s="124" t="s">
        <v>1623</v>
      </c>
      <c r="D632" s="127" t="s">
        <v>1717</v>
      </c>
      <c r="E632" s="127"/>
      <c r="F632" s="132">
        <f t="shared" si="84"/>
        <v>300</v>
      </c>
      <c r="G632" s="132">
        <f t="shared" si="84"/>
        <v>300</v>
      </c>
      <c r="H632" s="132">
        <f t="shared" si="84"/>
        <v>270.8</v>
      </c>
      <c r="I632" s="121">
        <f t="shared" si="85"/>
        <v>90.26666666666668</v>
      </c>
      <c r="J632" s="121">
        <f t="shared" si="80"/>
        <v>90.26666666666668</v>
      </c>
    </row>
    <row r="633" spans="1:10" ht="48">
      <c r="A633" s="134" t="s">
        <v>646</v>
      </c>
      <c r="B633" s="124" t="s">
        <v>1625</v>
      </c>
      <c r="C633" s="124" t="s">
        <v>1623</v>
      </c>
      <c r="D633" s="127" t="s">
        <v>618</v>
      </c>
      <c r="E633" s="127"/>
      <c r="F633" s="132">
        <f t="shared" si="84"/>
        <v>300</v>
      </c>
      <c r="G633" s="132">
        <f t="shared" si="84"/>
        <v>300</v>
      </c>
      <c r="H633" s="132">
        <f t="shared" si="84"/>
        <v>270.8</v>
      </c>
      <c r="I633" s="121">
        <f t="shared" si="85"/>
        <v>90.26666666666668</v>
      </c>
      <c r="J633" s="121">
        <f t="shared" si="80"/>
        <v>90.26666666666668</v>
      </c>
    </row>
    <row r="634" spans="1:10" ht="24">
      <c r="A634" s="130" t="s">
        <v>1312</v>
      </c>
      <c r="B634" s="124" t="s">
        <v>1625</v>
      </c>
      <c r="C634" s="124" t="s">
        <v>1623</v>
      </c>
      <c r="D634" s="127" t="s">
        <v>647</v>
      </c>
      <c r="E634" s="127" t="s">
        <v>1704</v>
      </c>
      <c r="F634" s="132">
        <f t="shared" si="84"/>
        <v>300</v>
      </c>
      <c r="G634" s="132">
        <f t="shared" si="84"/>
        <v>300</v>
      </c>
      <c r="H634" s="132">
        <f t="shared" si="84"/>
        <v>270.8</v>
      </c>
      <c r="I634" s="121">
        <f t="shared" si="85"/>
        <v>90.26666666666668</v>
      </c>
      <c r="J634" s="121">
        <f t="shared" si="80"/>
        <v>90.26666666666668</v>
      </c>
    </row>
    <row r="635" spans="1:10" ht="24">
      <c r="A635" s="129" t="s">
        <v>385</v>
      </c>
      <c r="B635" s="124" t="s">
        <v>1625</v>
      </c>
      <c r="C635" s="124" t="s">
        <v>1623</v>
      </c>
      <c r="D635" s="127" t="s">
        <v>647</v>
      </c>
      <c r="E635" s="127" t="s">
        <v>1619</v>
      </c>
      <c r="F635" s="135">
        <v>300</v>
      </c>
      <c r="G635" s="135">
        <v>300</v>
      </c>
      <c r="H635" s="135">
        <v>270.8</v>
      </c>
      <c r="I635" s="121">
        <f t="shared" si="85"/>
        <v>90.26666666666668</v>
      </c>
      <c r="J635" s="121">
        <f t="shared" si="80"/>
        <v>90.26666666666668</v>
      </c>
    </row>
    <row r="636" spans="1:10" ht="24">
      <c r="A636" s="133" t="s">
        <v>1281</v>
      </c>
      <c r="B636" s="124" t="s">
        <v>1625</v>
      </c>
      <c r="C636" s="124" t="s">
        <v>1625</v>
      </c>
      <c r="D636" s="124"/>
      <c r="E636" s="124"/>
      <c r="F636" s="132">
        <f>F637+F655</f>
        <v>49350</v>
      </c>
      <c r="G636" s="132">
        <f>G637+G655</f>
        <v>56920</v>
      </c>
      <c r="H636" s="132">
        <f>H637+H655</f>
        <v>56757.799999999996</v>
      </c>
      <c r="I636" s="121">
        <f t="shared" si="85"/>
        <v>115.01073961499493</v>
      </c>
      <c r="J636" s="121">
        <f t="shared" si="80"/>
        <v>99.71503865073788</v>
      </c>
    </row>
    <row r="637" spans="1:10" ht="39" customHeight="1">
      <c r="A637" s="141" t="s">
        <v>802</v>
      </c>
      <c r="B637" s="124" t="s">
        <v>1625</v>
      </c>
      <c r="C637" s="124" t="s">
        <v>1625</v>
      </c>
      <c r="D637" s="124" t="s">
        <v>1717</v>
      </c>
      <c r="E637" s="124"/>
      <c r="F637" s="132">
        <f>F638</f>
        <v>18500</v>
      </c>
      <c r="G637" s="132">
        <f>G638</f>
        <v>26324.999999999996</v>
      </c>
      <c r="H637" s="132">
        <f>H638</f>
        <v>26324.899999999994</v>
      </c>
      <c r="I637" s="121">
        <f t="shared" si="85"/>
        <v>142.29675675675674</v>
      </c>
      <c r="J637" s="121">
        <f t="shared" si="80"/>
        <v>99.99962013295345</v>
      </c>
    </row>
    <row r="638" spans="1:10" ht="48">
      <c r="A638" s="129" t="s">
        <v>540</v>
      </c>
      <c r="B638" s="124" t="s">
        <v>1625</v>
      </c>
      <c r="C638" s="124" t="s">
        <v>1625</v>
      </c>
      <c r="D638" s="124" t="s">
        <v>1448</v>
      </c>
      <c r="E638" s="124"/>
      <c r="F638" s="132">
        <f>F639+F647</f>
        <v>18500</v>
      </c>
      <c r="G638" s="132">
        <f>G639+G647</f>
        <v>26324.999999999996</v>
      </c>
      <c r="H638" s="132">
        <f>H639+H647</f>
        <v>26324.899999999994</v>
      </c>
      <c r="I638" s="121">
        <f t="shared" si="85"/>
        <v>142.29675675675674</v>
      </c>
      <c r="J638" s="121">
        <f t="shared" si="80"/>
        <v>99.99962013295345</v>
      </c>
    </row>
    <row r="639" spans="1:10" ht="36" customHeight="1">
      <c r="A639" s="129" t="s">
        <v>395</v>
      </c>
      <c r="B639" s="124" t="s">
        <v>1625</v>
      </c>
      <c r="C639" s="124" t="s">
        <v>1625</v>
      </c>
      <c r="D639" s="124" t="s">
        <v>396</v>
      </c>
      <c r="E639" s="124"/>
      <c r="F639" s="132">
        <f>F640+F642</f>
        <v>0</v>
      </c>
      <c r="G639" s="132">
        <f>G640+G642</f>
        <v>7825</v>
      </c>
      <c r="H639" s="132">
        <f>H640+H642</f>
        <v>7825</v>
      </c>
      <c r="I639" s="121">
        <v>0</v>
      </c>
      <c r="J639" s="121">
        <f t="shared" si="80"/>
        <v>100</v>
      </c>
    </row>
    <row r="640" spans="1:10" ht="24">
      <c r="A640" s="130" t="s">
        <v>1705</v>
      </c>
      <c r="B640" s="124" t="s">
        <v>1625</v>
      </c>
      <c r="C640" s="124" t="s">
        <v>1625</v>
      </c>
      <c r="D640" s="124" t="s">
        <v>396</v>
      </c>
      <c r="E640" s="124" t="s">
        <v>1706</v>
      </c>
      <c r="F640" s="132">
        <f>F641</f>
        <v>0</v>
      </c>
      <c r="G640" s="132">
        <f>G641</f>
        <v>2247.5</v>
      </c>
      <c r="H640" s="132">
        <f>H641</f>
        <v>2247.5</v>
      </c>
      <c r="I640" s="121">
        <v>0</v>
      </c>
      <c r="J640" s="121">
        <f t="shared" si="80"/>
        <v>100</v>
      </c>
    </row>
    <row r="641" spans="1:10" ht="24">
      <c r="A641" s="129" t="s">
        <v>977</v>
      </c>
      <c r="B641" s="124" t="s">
        <v>1625</v>
      </c>
      <c r="C641" s="124" t="s">
        <v>1625</v>
      </c>
      <c r="D641" s="124" t="s">
        <v>396</v>
      </c>
      <c r="E641" s="124" t="s">
        <v>846</v>
      </c>
      <c r="F641" s="135">
        <v>0</v>
      </c>
      <c r="G641" s="135">
        <f>2317.1-69.6</f>
        <v>2247.5</v>
      </c>
      <c r="H641" s="135">
        <f>2317.1-69.6</f>
        <v>2247.5</v>
      </c>
      <c r="I641" s="121">
        <v>0</v>
      </c>
      <c r="J641" s="121">
        <f t="shared" si="80"/>
        <v>100</v>
      </c>
    </row>
    <row r="642" spans="1:10" ht="36">
      <c r="A642" s="129" t="s">
        <v>752</v>
      </c>
      <c r="B642" s="124" t="s">
        <v>1625</v>
      </c>
      <c r="C642" s="124" t="s">
        <v>1625</v>
      </c>
      <c r="D642" s="124" t="s">
        <v>396</v>
      </c>
      <c r="E642" s="124" t="s">
        <v>751</v>
      </c>
      <c r="F642" s="132">
        <f>F643+F645</f>
        <v>0</v>
      </c>
      <c r="G642" s="132">
        <f>G643+G645</f>
        <v>5577.5</v>
      </c>
      <c r="H642" s="132">
        <f>H643+H645</f>
        <v>5577.5</v>
      </c>
      <c r="I642" s="121">
        <v>0</v>
      </c>
      <c r="J642" s="121">
        <f t="shared" si="80"/>
        <v>100</v>
      </c>
    </row>
    <row r="643" spans="1:10" ht="24">
      <c r="A643" s="134" t="s">
        <v>18</v>
      </c>
      <c r="B643" s="124" t="s">
        <v>1625</v>
      </c>
      <c r="C643" s="124" t="s">
        <v>1625</v>
      </c>
      <c r="D643" s="124" t="s">
        <v>396</v>
      </c>
      <c r="E643" s="124" t="s">
        <v>1436</v>
      </c>
      <c r="F643" s="132">
        <f>F644</f>
        <v>0</v>
      </c>
      <c r="G643" s="132">
        <f>G644</f>
        <v>1231.6</v>
      </c>
      <c r="H643" s="132">
        <f>H644</f>
        <v>1231.6</v>
      </c>
      <c r="I643" s="121">
        <v>0</v>
      </c>
      <c r="J643" s="121">
        <f t="shared" si="80"/>
        <v>100</v>
      </c>
    </row>
    <row r="644" spans="1:10" ht="24">
      <c r="A644" s="134" t="s">
        <v>1398</v>
      </c>
      <c r="B644" s="124" t="s">
        <v>1625</v>
      </c>
      <c r="C644" s="124" t="s">
        <v>1625</v>
      </c>
      <c r="D644" s="124" t="s">
        <v>396</v>
      </c>
      <c r="E644" s="124" t="s">
        <v>1436</v>
      </c>
      <c r="F644" s="135">
        <v>0</v>
      </c>
      <c r="G644" s="135">
        <f>300+1083-151.4</f>
        <v>1231.6</v>
      </c>
      <c r="H644" s="135">
        <f>300+1083-151.4</f>
        <v>1231.6</v>
      </c>
      <c r="I644" s="121">
        <v>0</v>
      </c>
      <c r="J644" s="121">
        <f t="shared" si="80"/>
        <v>100</v>
      </c>
    </row>
    <row r="645" spans="1:10" ht="24">
      <c r="A645" s="134" t="s">
        <v>1687</v>
      </c>
      <c r="B645" s="124" t="s">
        <v>1625</v>
      </c>
      <c r="C645" s="124" t="s">
        <v>1625</v>
      </c>
      <c r="D645" s="124" t="s">
        <v>396</v>
      </c>
      <c r="E645" s="124" t="s">
        <v>1502</v>
      </c>
      <c r="F645" s="132">
        <f>F646</f>
        <v>0</v>
      </c>
      <c r="G645" s="132">
        <f>G646</f>
        <v>4345.9</v>
      </c>
      <c r="H645" s="132">
        <f>H646</f>
        <v>4345.9</v>
      </c>
      <c r="I645" s="121">
        <v>0</v>
      </c>
      <c r="J645" s="121">
        <f t="shared" si="80"/>
        <v>100</v>
      </c>
    </row>
    <row r="646" spans="1:10" ht="24">
      <c r="A646" s="134" t="s">
        <v>1398</v>
      </c>
      <c r="B646" s="124" t="s">
        <v>1625</v>
      </c>
      <c r="C646" s="124" t="s">
        <v>1625</v>
      </c>
      <c r="D646" s="124" t="s">
        <v>396</v>
      </c>
      <c r="E646" s="124" t="s">
        <v>1502</v>
      </c>
      <c r="F646" s="135">
        <v>0</v>
      </c>
      <c r="G646" s="135">
        <f>5207.9-1013.4+151.4</f>
        <v>4345.9</v>
      </c>
      <c r="H646" s="135">
        <f>5207.9-1013.4+151.4</f>
        <v>4345.9</v>
      </c>
      <c r="I646" s="121">
        <v>0</v>
      </c>
      <c r="J646" s="121">
        <f t="shared" si="80"/>
        <v>100</v>
      </c>
    </row>
    <row r="647" spans="1:10" ht="36">
      <c r="A647" s="129" t="s">
        <v>397</v>
      </c>
      <c r="B647" s="124" t="s">
        <v>1625</v>
      </c>
      <c r="C647" s="124" t="s">
        <v>1625</v>
      </c>
      <c r="D647" s="124" t="s">
        <v>648</v>
      </c>
      <c r="E647" s="124"/>
      <c r="F647" s="132">
        <f>F648+F650</f>
        <v>18500</v>
      </c>
      <c r="G647" s="132">
        <f>G648+G650</f>
        <v>18499.999999999996</v>
      </c>
      <c r="H647" s="132">
        <f>H648+H650</f>
        <v>18499.899999999994</v>
      </c>
      <c r="I647" s="121">
        <f>H647/F647*100</f>
        <v>99.99945945945943</v>
      </c>
      <c r="J647" s="121">
        <f t="shared" si="80"/>
        <v>99.99945945945944</v>
      </c>
    </row>
    <row r="648" spans="1:10" ht="24">
      <c r="A648" s="130" t="s">
        <v>1705</v>
      </c>
      <c r="B648" s="124" t="s">
        <v>1625</v>
      </c>
      <c r="C648" s="124" t="s">
        <v>1625</v>
      </c>
      <c r="D648" s="124" t="s">
        <v>648</v>
      </c>
      <c r="E648" s="124" t="s">
        <v>1706</v>
      </c>
      <c r="F648" s="132">
        <f>F649</f>
        <v>0</v>
      </c>
      <c r="G648" s="132">
        <f>G649</f>
        <v>1201.6</v>
      </c>
      <c r="H648" s="132">
        <f>H649</f>
        <v>1201.6</v>
      </c>
      <c r="I648" s="121">
        <v>0</v>
      </c>
      <c r="J648" s="121">
        <f t="shared" si="80"/>
        <v>100</v>
      </c>
    </row>
    <row r="649" spans="1:10" ht="24">
      <c r="A649" s="129" t="s">
        <v>977</v>
      </c>
      <c r="B649" s="124" t="s">
        <v>1625</v>
      </c>
      <c r="C649" s="124" t="s">
        <v>1625</v>
      </c>
      <c r="D649" s="124" t="s">
        <v>648</v>
      </c>
      <c r="E649" s="124" t="s">
        <v>846</v>
      </c>
      <c r="F649" s="135">
        <v>0</v>
      </c>
      <c r="G649" s="135">
        <f>2000-750-48.4</f>
        <v>1201.6</v>
      </c>
      <c r="H649" s="135">
        <f>2000-750-48.4</f>
        <v>1201.6</v>
      </c>
      <c r="I649" s="121">
        <v>0</v>
      </c>
      <c r="J649" s="121">
        <f t="shared" si="80"/>
        <v>100</v>
      </c>
    </row>
    <row r="650" spans="1:10" ht="36">
      <c r="A650" s="129" t="s">
        <v>752</v>
      </c>
      <c r="B650" s="124" t="s">
        <v>1625</v>
      </c>
      <c r="C650" s="124" t="s">
        <v>1625</v>
      </c>
      <c r="D650" s="124" t="s">
        <v>648</v>
      </c>
      <c r="E650" s="124" t="s">
        <v>751</v>
      </c>
      <c r="F650" s="132">
        <f>F651+F653</f>
        <v>18500</v>
      </c>
      <c r="G650" s="132">
        <f>G651+G653</f>
        <v>17298.399999999998</v>
      </c>
      <c r="H650" s="132">
        <f>H651+H653</f>
        <v>17298.299999999996</v>
      </c>
      <c r="I650" s="121">
        <f>H650/F650*100</f>
        <v>93.5043243243243</v>
      </c>
      <c r="J650" s="121">
        <f t="shared" si="80"/>
        <v>99.9994219118531</v>
      </c>
    </row>
    <row r="651" spans="1:10" ht="24">
      <c r="A651" s="134" t="s">
        <v>18</v>
      </c>
      <c r="B651" s="124" t="s">
        <v>1625</v>
      </c>
      <c r="C651" s="124" t="s">
        <v>1625</v>
      </c>
      <c r="D651" s="124" t="s">
        <v>648</v>
      </c>
      <c r="E651" s="124" t="s">
        <v>1436</v>
      </c>
      <c r="F651" s="135">
        <f>F652</f>
        <v>18500</v>
      </c>
      <c r="G651" s="135">
        <f>G652</f>
        <v>7101.499999999998</v>
      </c>
      <c r="H651" s="135">
        <f>H652</f>
        <v>7101.499999999998</v>
      </c>
      <c r="I651" s="121">
        <f>H651/F651*100</f>
        <v>38.386486486486476</v>
      </c>
      <c r="J651" s="121">
        <f t="shared" si="80"/>
        <v>100</v>
      </c>
    </row>
    <row r="652" spans="1:10" ht="24">
      <c r="A652" s="134" t="s">
        <v>1398</v>
      </c>
      <c r="B652" s="124" t="s">
        <v>1625</v>
      </c>
      <c r="C652" s="124" t="s">
        <v>1625</v>
      </c>
      <c r="D652" s="124" t="s">
        <v>648</v>
      </c>
      <c r="E652" s="124" t="s">
        <v>1436</v>
      </c>
      <c r="F652" s="135">
        <f>18500</f>
        <v>18500</v>
      </c>
      <c r="G652" s="135">
        <f>18500-576.4-9713.6-721.4-387.1</f>
        <v>7101.499999999998</v>
      </c>
      <c r="H652" s="135">
        <f>18500-576.4-9713.6-721.4-387.1</f>
        <v>7101.499999999998</v>
      </c>
      <c r="I652" s="121">
        <f>H652/F652*100</f>
        <v>38.386486486486476</v>
      </c>
      <c r="J652" s="121">
        <f t="shared" si="80"/>
        <v>100</v>
      </c>
    </row>
    <row r="653" spans="1:10" ht="24">
      <c r="A653" s="134" t="s">
        <v>1687</v>
      </c>
      <c r="B653" s="124" t="s">
        <v>1625</v>
      </c>
      <c r="C653" s="124" t="s">
        <v>1625</v>
      </c>
      <c r="D653" s="124" t="s">
        <v>648</v>
      </c>
      <c r="E653" s="124" t="s">
        <v>751</v>
      </c>
      <c r="F653" s="132">
        <f>F654</f>
        <v>0</v>
      </c>
      <c r="G653" s="132">
        <f>G654</f>
        <v>10196.9</v>
      </c>
      <c r="H653" s="132">
        <v>10196.8</v>
      </c>
      <c r="I653" s="121">
        <v>0</v>
      </c>
      <c r="J653" s="121">
        <f t="shared" si="80"/>
        <v>99.99901930979023</v>
      </c>
    </row>
    <row r="654" spans="1:10" ht="24">
      <c r="A654" s="134" t="s">
        <v>1398</v>
      </c>
      <c r="B654" s="124" t="s">
        <v>1625</v>
      </c>
      <c r="C654" s="124" t="s">
        <v>1625</v>
      </c>
      <c r="D654" s="124" t="s">
        <v>648</v>
      </c>
      <c r="E654" s="124" t="s">
        <v>1502</v>
      </c>
      <c r="F654" s="135">
        <v>0</v>
      </c>
      <c r="G654" s="135">
        <f>576.4+7713.6+111.4+610+1137.1+48.4</f>
        <v>10196.9</v>
      </c>
      <c r="H654" s="135">
        <v>10196.8</v>
      </c>
      <c r="I654" s="121">
        <v>0</v>
      </c>
      <c r="J654" s="121">
        <f t="shared" si="80"/>
        <v>99.99901930979023</v>
      </c>
    </row>
    <row r="655" spans="1:10" ht="36">
      <c r="A655" s="141" t="s">
        <v>732</v>
      </c>
      <c r="B655" s="124" t="s">
        <v>1625</v>
      </c>
      <c r="C655" s="124" t="s">
        <v>1625</v>
      </c>
      <c r="D655" s="124" t="s">
        <v>625</v>
      </c>
      <c r="E655" s="124"/>
      <c r="F655" s="132">
        <f>F656</f>
        <v>30850</v>
      </c>
      <c r="G655" s="132">
        <f>G656</f>
        <v>30595</v>
      </c>
      <c r="H655" s="132">
        <f>H656</f>
        <v>30432.9</v>
      </c>
      <c r="I655" s="121">
        <f>H655/F655*100</f>
        <v>98.64797406807132</v>
      </c>
      <c r="J655" s="121">
        <f t="shared" si="80"/>
        <v>99.47017486517406</v>
      </c>
    </row>
    <row r="656" spans="1:10" ht="36">
      <c r="A656" s="134" t="s">
        <v>519</v>
      </c>
      <c r="B656" s="124" t="s">
        <v>1625</v>
      </c>
      <c r="C656" s="124" t="s">
        <v>1625</v>
      </c>
      <c r="D656" s="124" t="s">
        <v>1722</v>
      </c>
      <c r="E656" s="124"/>
      <c r="F656" s="132">
        <f>F658</f>
        <v>30850</v>
      </c>
      <c r="G656" s="132">
        <f>G658</f>
        <v>30595</v>
      </c>
      <c r="H656" s="132">
        <f>H658</f>
        <v>30432.9</v>
      </c>
      <c r="I656" s="121">
        <f aca="true" t="shared" si="86" ref="I656:I710">H656/F656*100</f>
        <v>98.64797406807132</v>
      </c>
      <c r="J656" s="121">
        <f aca="true" t="shared" si="87" ref="J656:J719">H656/G656*100</f>
        <v>99.47017486517406</v>
      </c>
    </row>
    <row r="657" spans="1:10" ht="36">
      <c r="A657" s="129" t="s">
        <v>752</v>
      </c>
      <c r="B657" s="124" t="s">
        <v>1625</v>
      </c>
      <c r="C657" s="124" t="s">
        <v>1625</v>
      </c>
      <c r="D657" s="124" t="s">
        <v>520</v>
      </c>
      <c r="E657" s="124" t="s">
        <v>751</v>
      </c>
      <c r="F657" s="132">
        <f>F658</f>
        <v>30850</v>
      </c>
      <c r="G657" s="132">
        <f>G658</f>
        <v>30595</v>
      </c>
      <c r="H657" s="132">
        <f>H658</f>
        <v>30432.9</v>
      </c>
      <c r="I657" s="121">
        <f t="shared" si="86"/>
        <v>98.64797406807132</v>
      </c>
      <c r="J657" s="121">
        <f t="shared" si="87"/>
        <v>99.47017486517406</v>
      </c>
    </row>
    <row r="658" spans="1:10" ht="24">
      <c r="A658" s="165" t="s">
        <v>753</v>
      </c>
      <c r="B658" s="166" t="s">
        <v>1625</v>
      </c>
      <c r="C658" s="166" t="s">
        <v>1625</v>
      </c>
      <c r="D658" s="166" t="s">
        <v>520</v>
      </c>
      <c r="E658" s="166" t="s">
        <v>1436</v>
      </c>
      <c r="F658" s="167">
        <f>28050+F659+F660</f>
        <v>30850</v>
      </c>
      <c r="G658" s="167">
        <f>28050+G659+G660-640</f>
        <v>30595</v>
      </c>
      <c r="H658" s="167">
        <v>30432.9</v>
      </c>
      <c r="I658" s="121">
        <f t="shared" si="86"/>
        <v>98.64797406807132</v>
      </c>
      <c r="J658" s="121">
        <f t="shared" si="87"/>
        <v>99.47017486517406</v>
      </c>
    </row>
    <row r="659" spans="1:10" ht="36">
      <c r="A659" s="165" t="s">
        <v>1047</v>
      </c>
      <c r="B659" s="166" t="s">
        <v>1625</v>
      </c>
      <c r="C659" s="166" t="s">
        <v>1625</v>
      </c>
      <c r="D659" s="166" t="s">
        <v>520</v>
      </c>
      <c r="E659" s="166" t="s">
        <v>1436</v>
      </c>
      <c r="F659" s="168">
        <f>2800</f>
        <v>2800</v>
      </c>
      <c r="G659" s="168">
        <f>2800+320</f>
        <v>3120</v>
      </c>
      <c r="H659" s="168">
        <v>3087.2</v>
      </c>
      <c r="I659" s="121">
        <f t="shared" si="86"/>
        <v>110.25714285714285</v>
      </c>
      <c r="J659" s="121">
        <f t="shared" si="87"/>
        <v>98.94871794871794</v>
      </c>
    </row>
    <row r="660" spans="1:10" ht="36">
      <c r="A660" s="165" t="s">
        <v>398</v>
      </c>
      <c r="B660" s="166" t="s">
        <v>1625</v>
      </c>
      <c r="C660" s="166" t="s">
        <v>1625</v>
      </c>
      <c r="D660" s="166" t="s">
        <v>520</v>
      </c>
      <c r="E660" s="166" t="s">
        <v>1436</v>
      </c>
      <c r="F660" s="167">
        <v>0</v>
      </c>
      <c r="G660" s="167">
        <v>65</v>
      </c>
      <c r="H660" s="167">
        <v>61.2</v>
      </c>
      <c r="I660" s="121">
        <v>0</v>
      </c>
      <c r="J660" s="121">
        <f t="shared" si="87"/>
        <v>94.15384615384616</v>
      </c>
    </row>
    <row r="661" spans="1:10" ht="15.75">
      <c r="A661" s="169" t="s">
        <v>823</v>
      </c>
      <c r="B661" s="124" t="s">
        <v>1625</v>
      </c>
      <c r="C661" s="124" t="s">
        <v>1626</v>
      </c>
      <c r="D661" s="124"/>
      <c r="E661" s="124"/>
      <c r="F661" s="132">
        <f>F662</f>
        <v>116444</v>
      </c>
      <c r="G661" s="132">
        <f>G662</f>
        <v>123157.9</v>
      </c>
      <c r="H661" s="132">
        <f>H662</f>
        <v>118057.2</v>
      </c>
      <c r="I661" s="121">
        <f t="shared" si="86"/>
        <v>101.38538696712583</v>
      </c>
      <c r="J661" s="121">
        <f t="shared" si="87"/>
        <v>95.85840615989717</v>
      </c>
    </row>
    <row r="662" spans="1:10" ht="45" customHeight="1">
      <c r="A662" s="141" t="s">
        <v>802</v>
      </c>
      <c r="B662" s="124" t="s">
        <v>1625</v>
      </c>
      <c r="C662" s="124" t="s">
        <v>1626</v>
      </c>
      <c r="D662" s="124" t="s">
        <v>1717</v>
      </c>
      <c r="E662" s="124"/>
      <c r="F662" s="132">
        <f>F667+F663</f>
        <v>116444</v>
      </c>
      <c r="G662" s="132">
        <f>G667+G663</f>
        <v>123157.9</v>
      </c>
      <c r="H662" s="132">
        <f>H667+H663</f>
        <v>118057.2</v>
      </c>
      <c r="I662" s="121">
        <f t="shared" si="86"/>
        <v>101.38538696712583</v>
      </c>
      <c r="J662" s="121">
        <f t="shared" si="87"/>
        <v>95.85840615989717</v>
      </c>
    </row>
    <row r="663" spans="1:11" ht="36">
      <c r="A663" s="134" t="s">
        <v>1443</v>
      </c>
      <c r="B663" s="127" t="s">
        <v>1625</v>
      </c>
      <c r="C663" s="127" t="s">
        <v>1626</v>
      </c>
      <c r="D663" s="127" t="s">
        <v>549</v>
      </c>
      <c r="E663" s="127"/>
      <c r="F663" s="132">
        <f aca="true" t="shared" si="88" ref="F663:H665">F664</f>
        <v>2248</v>
      </c>
      <c r="G663" s="132">
        <f t="shared" si="88"/>
        <v>2248</v>
      </c>
      <c r="H663" s="132">
        <f t="shared" si="88"/>
        <v>1582</v>
      </c>
      <c r="I663" s="121">
        <f t="shared" si="86"/>
        <v>70.37366548042705</v>
      </c>
      <c r="J663" s="121">
        <f t="shared" si="87"/>
        <v>70.37366548042705</v>
      </c>
      <c r="K663" s="108"/>
    </row>
    <row r="664" spans="1:10" ht="72">
      <c r="A664" s="170" t="s">
        <v>627</v>
      </c>
      <c r="B664" s="127" t="s">
        <v>1625</v>
      </c>
      <c r="C664" s="127" t="s">
        <v>1626</v>
      </c>
      <c r="D664" s="127" t="s">
        <v>650</v>
      </c>
      <c r="E664" s="127"/>
      <c r="F664" s="132">
        <f t="shared" si="88"/>
        <v>2248</v>
      </c>
      <c r="G664" s="132">
        <f t="shared" si="88"/>
        <v>2248</v>
      </c>
      <c r="H664" s="132">
        <f t="shared" si="88"/>
        <v>1582</v>
      </c>
      <c r="I664" s="121">
        <f t="shared" si="86"/>
        <v>70.37366548042705</v>
      </c>
      <c r="J664" s="121">
        <f t="shared" si="87"/>
        <v>70.37366548042705</v>
      </c>
    </row>
    <row r="665" spans="1:11" ht="36">
      <c r="A665" s="129" t="s">
        <v>752</v>
      </c>
      <c r="B665" s="127" t="s">
        <v>1625</v>
      </c>
      <c r="C665" s="127" t="s">
        <v>1626</v>
      </c>
      <c r="D665" s="127" t="s">
        <v>650</v>
      </c>
      <c r="E665" s="127" t="s">
        <v>751</v>
      </c>
      <c r="F665" s="132">
        <f t="shared" si="88"/>
        <v>2248</v>
      </c>
      <c r="G665" s="132">
        <f t="shared" si="88"/>
        <v>2248</v>
      </c>
      <c r="H665" s="132">
        <f t="shared" si="88"/>
        <v>1582</v>
      </c>
      <c r="I665" s="121">
        <f t="shared" si="86"/>
        <v>70.37366548042705</v>
      </c>
      <c r="J665" s="121">
        <f t="shared" si="87"/>
        <v>70.37366548042705</v>
      </c>
      <c r="K665" s="108"/>
    </row>
    <row r="666" spans="1:11" ht="15.75">
      <c r="A666" s="134" t="s">
        <v>1435</v>
      </c>
      <c r="B666" s="127" t="s">
        <v>1625</v>
      </c>
      <c r="C666" s="127" t="s">
        <v>1626</v>
      </c>
      <c r="D666" s="127" t="s">
        <v>650</v>
      </c>
      <c r="E666" s="127" t="s">
        <v>1436</v>
      </c>
      <c r="F666" s="135">
        <v>2248</v>
      </c>
      <c r="G666" s="135">
        <v>2248</v>
      </c>
      <c r="H666" s="135">
        <v>1582</v>
      </c>
      <c r="I666" s="121">
        <f t="shared" si="86"/>
        <v>70.37366548042705</v>
      </c>
      <c r="J666" s="121">
        <f t="shared" si="87"/>
        <v>70.37366548042705</v>
      </c>
      <c r="K666" s="108"/>
    </row>
    <row r="667" spans="1:10" ht="48">
      <c r="A667" s="134" t="s">
        <v>646</v>
      </c>
      <c r="B667" s="124" t="s">
        <v>1625</v>
      </c>
      <c r="C667" s="124" t="s">
        <v>1626</v>
      </c>
      <c r="D667" s="124" t="s">
        <v>618</v>
      </c>
      <c r="E667" s="124"/>
      <c r="F667" s="132">
        <f>F668+F676</f>
        <v>114196</v>
      </c>
      <c r="G667" s="132">
        <f>G668+G676</f>
        <v>120909.9</v>
      </c>
      <c r="H667" s="132">
        <f>H668+H676</f>
        <v>116475.2</v>
      </c>
      <c r="I667" s="121">
        <f t="shared" si="86"/>
        <v>101.995866755403</v>
      </c>
      <c r="J667" s="121">
        <f t="shared" si="87"/>
        <v>96.33222755125924</v>
      </c>
    </row>
    <row r="668" spans="1:10" ht="48">
      <c r="A668" s="129" t="s">
        <v>1616</v>
      </c>
      <c r="B668" s="124" t="s">
        <v>1625</v>
      </c>
      <c r="C668" s="124" t="s">
        <v>1626</v>
      </c>
      <c r="D668" s="124" t="s">
        <v>649</v>
      </c>
      <c r="E668" s="124"/>
      <c r="F668" s="132">
        <f>F669</f>
        <v>30234</v>
      </c>
      <c r="G668" s="132">
        <f>G669</f>
        <v>30234</v>
      </c>
      <c r="H668" s="132">
        <f>H669</f>
        <v>28313.5</v>
      </c>
      <c r="I668" s="121">
        <f t="shared" si="86"/>
        <v>93.64787987034464</v>
      </c>
      <c r="J668" s="121">
        <f t="shared" si="87"/>
        <v>93.64787987034464</v>
      </c>
    </row>
    <row r="669" spans="1:10" ht="15.75">
      <c r="A669" s="134" t="s">
        <v>113</v>
      </c>
      <c r="B669" s="124" t="s">
        <v>1625</v>
      </c>
      <c r="C669" s="124" t="s">
        <v>1626</v>
      </c>
      <c r="D669" s="124" t="s">
        <v>649</v>
      </c>
      <c r="E669" s="124"/>
      <c r="F669" s="132">
        <f>F670+F672+F674</f>
        <v>30234</v>
      </c>
      <c r="G669" s="132">
        <f>G670+G672+G674</f>
        <v>30234</v>
      </c>
      <c r="H669" s="132">
        <f>H670+H672+H674</f>
        <v>28313.5</v>
      </c>
      <c r="I669" s="121">
        <f t="shared" si="86"/>
        <v>93.64787987034464</v>
      </c>
      <c r="J669" s="121">
        <f t="shared" si="87"/>
        <v>93.64787987034464</v>
      </c>
    </row>
    <row r="670" spans="1:10" ht="72">
      <c r="A670" s="130" t="s">
        <v>1311</v>
      </c>
      <c r="B670" s="124" t="s">
        <v>1625</v>
      </c>
      <c r="C670" s="124" t="s">
        <v>1626</v>
      </c>
      <c r="D670" s="124" t="s">
        <v>649</v>
      </c>
      <c r="E670" s="124" t="s">
        <v>1462</v>
      </c>
      <c r="F670" s="132">
        <f>F671</f>
        <v>27031</v>
      </c>
      <c r="G670" s="132">
        <f>G671</f>
        <v>26897</v>
      </c>
      <c r="H670" s="132">
        <f>H671</f>
        <v>25255.2</v>
      </c>
      <c r="I670" s="121">
        <f t="shared" si="86"/>
        <v>93.4305057156598</v>
      </c>
      <c r="J670" s="121">
        <f t="shared" si="87"/>
        <v>93.89597352864631</v>
      </c>
    </row>
    <row r="671" spans="1:10" ht="24">
      <c r="A671" s="130" t="s">
        <v>1039</v>
      </c>
      <c r="B671" s="124" t="s">
        <v>1625</v>
      </c>
      <c r="C671" s="124" t="s">
        <v>1626</v>
      </c>
      <c r="D671" s="124" t="s">
        <v>649</v>
      </c>
      <c r="E671" s="124" t="s">
        <v>1432</v>
      </c>
      <c r="F671" s="135">
        <f>27031</f>
        <v>27031</v>
      </c>
      <c r="G671" s="135">
        <f>27031-100-34</f>
        <v>26897</v>
      </c>
      <c r="H671" s="135">
        <v>25255.2</v>
      </c>
      <c r="I671" s="121">
        <f t="shared" si="86"/>
        <v>93.4305057156598</v>
      </c>
      <c r="J671" s="121">
        <f t="shared" si="87"/>
        <v>93.89597352864631</v>
      </c>
    </row>
    <row r="672" spans="1:10" ht="24">
      <c r="A672" s="130" t="s">
        <v>1312</v>
      </c>
      <c r="B672" s="124" t="s">
        <v>1625</v>
      </c>
      <c r="C672" s="124" t="s">
        <v>1626</v>
      </c>
      <c r="D672" s="124" t="s">
        <v>649</v>
      </c>
      <c r="E672" s="124" t="s">
        <v>1704</v>
      </c>
      <c r="F672" s="132">
        <f>F673</f>
        <v>3146</v>
      </c>
      <c r="G672" s="132">
        <f>G673</f>
        <v>3279.2</v>
      </c>
      <c r="H672" s="132">
        <f>H673</f>
        <v>3001.2</v>
      </c>
      <c r="I672" s="121">
        <f t="shared" si="86"/>
        <v>95.39732994278448</v>
      </c>
      <c r="J672" s="121">
        <f t="shared" si="87"/>
        <v>91.52232251768724</v>
      </c>
    </row>
    <row r="673" spans="1:10" ht="24">
      <c r="A673" s="130" t="s">
        <v>1406</v>
      </c>
      <c r="B673" s="124" t="s">
        <v>1625</v>
      </c>
      <c r="C673" s="124" t="s">
        <v>1626</v>
      </c>
      <c r="D673" s="124" t="s">
        <v>649</v>
      </c>
      <c r="E673" s="124" t="s">
        <v>1619</v>
      </c>
      <c r="F673" s="135">
        <f>3146</f>
        <v>3146</v>
      </c>
      <c r="G673" s="135">
        <f>3146+100-0.8+34</f>
        <v>3279.2</v>
      </c>
      <c r="H673" s="135">
        <v>3001.2</v>
      </c>
      <c r="I673" s="121">
        <f t="shared" si="86"/>
        <v>95.39732994278448</v>
      </c>
      <c r="J673" s="121">
        <f t="shared" si="87"/>
        <v>91.52232251768724</v>
      </c>
    </row>
    <row r="674" spans="1:10" ht="15.75">
      <c r="A674" s="130" t="s">
        <v>910</v>
      </c>
      <c r="B674" s="124" t="s">
        <v>1625</v>
      </c>
      <c r="C674" s="124" t="s">
        <v>1626</v>
      </c>
      <c r="D674" s="124" t="s">
        <v>649</v>
      </c>
      <c r="E674" s="124" t="s">
        <v>911</v>
      </c>
      <c r="F674" s="132">
        <f>F675</f>
        <v>57</v>
      </c>
      <c r="G674" s="132">
        <f>G675</f>
        <v>57.8</v>
      </c>
      <c r="H674" s="132">
        <f>H675</f>
        <v>57.1</v>
      </c>
      <c r="I674" s="121">
        <f t="shared" si="86"/>
        <v>100.17543859649123</v>
      </c>
      <c r="J674" s="121">
        <f t="shared" si="87"/>
        <v>98.78892733564014</v>
      </c>
    </row>
    <row r="675" spans="1:10" ht="15.75">
      <c r="A675" s="130" t="s">
        <v>589</v>
      </c>
      <c r="B675" s="124" t="s">
        <v>1625</v>
      </c>
      <c r="C675" s="124" t="s">
        <v>1626</v>
      </c>
      <c r="D675" s="124" t="s">
        <v>649</v>
      </c>
      <c r="E675" s="124" t="s">
        <v>590</v>
      </c>
      <c r="F675" s="135">
        <f>57</f>
        <v>57</v>
      </c>
      <c r="G675" s="135">
        <f>57+0.8</f>
        <v>57.8</v>
      </c>
      <c r="H675" s="135">
        <v>57.1</v>
      </c>
      <c r="I675" s="121">
        <f t="shared" si="86"/>
        <v>100.17543859649123</v>
      </c>
      <c r="J675" s="121">
        <f t="shared" si="87"/>
        <v>98.78892733564014</v>
      </c>
    </row>
    <row r="676" spans="1:10" ht="48">
      <c r="A676" s="134" t="s">
        <v>646</v>
      </c>
      <c r="B676" s="127" t="s">
        <v>1625</v>
      </c>
      <c r="C676" s="127" t="s">
        <v>1626</v>
      </c>
      <c r="D676" s="127" t="s">
        <v>618</v>
      </c>
      <c r="E676" s="127"/>
      <c r="F676" s="132">
        <f>F677</f>
        <v>83962</v>
      </c>
      <c r="G676" s="132">
        <f>G677</f>
        <v>90675.9</v>
      </c>
      <c r="H676" s="132">
        <f>H677</f>
        <v>88161.7</v>
      </c>
      <c r="I676" s="121">
        <f t="shared" si="86"/>
        <v>105.00190562397273</v>
      </c>
      <c r="J676" s="121">
        <f t="shared" si="87"/>
        <v>97.22726766428566</v>
      </c>
    </row>
    <row r="677" spans="1:10" ht="36">
      <c r="A677" s="129" t="s">
        <v>752</v>
      </c>
      <c r="B677" s="127" t="s">
        <v>1625</v>
      </c>
      <c r="C677" s="127" t="s">
        <v>1626</v>
      </c>
      <c r="D677" s="127" t="s">
        <v>651</v>
      </c>
      <c r="E677" s="127" t="s">
        <v>751</v>
      </c>
      <c r="F677" s="132">
        <f>F678+F681</f>
        <v>83962</v>
      </c>
      <c r="G677" s="132">
        <f>G678+G681</f>
        <v>90675.9</v>
      </c>
      <c r="H677" s="132">
        <f>H678+H681</f>
        <v>88161.7</v>
      </c>
      <c r="I677" s="121">
        <f t="shared" si="86"/>
        <v>105.00190562397273</v>
      </c>
      <c r="J677" s="121">
        <f t="shared" si="87"/>
        <v>97.22726766428566</v>
      </c>
    </row>
    <row r="678" spans="1:10" ht="24">
      <c r="A678" s="134" t="s">
        <v>753</v>
      </c>
      <c r="B678" s="127" t="s">
        <v>1625</v>
      </c>
      <c r="C678" s="127" t="s">
        <v>1626</v>
      </c>
      <c r="D678" s="127" t="s">
        <v>651</v>
      </c>
      <c r="E678" s="127" t="s">
        <v>1436</v>
      </c>
      <c r="F678" s="132">
        <f>70210+F680</f>
        <v>70210</v>
      </c>
      <c r="G678" s="132">
        <f>70210+G680-5776-348-100+5000-88.1+140</f>
        <v>70614.9</v>
      </c>
      <c r="H678" s="132">
        <v>70083.2</v>
      </c>
      <c r="I678" s="121">
        <f t="shared" si="86"/>
        <v>99.81939894601908</v>
      </c>
      <c r="J678" s="121">
        <f t="shared" si="87"/>
        <v>99.24704276292964</v>
      </c>
    </row>
    <row r="679" spans="1:10" ht="24">
      <c r="A679" s="134" t="s">
        <v>1399</v>
      </c>
      <c r="B679" s="127" t="s">
        <v>1625</v>
      </c>
      <c r="C679" s="127" t="s">
        <v>1626</v>
      </c>
      <c r="D679" s="127" t="s">
        <v>651</v>
      </c>
      <c r="E679" s="127" t="s">
        <v>1436</v>
      </c>
      <c r="F679" s="135">
        <v>0</v>
      </c>
      <c r="G679" s="135">
        <f>4302-348-100-88.1</f>
        <v>3765.9</v>
      </c>
      <c r="H679" s="135">
        <v>3679.4</v>
      </c>
      <c r="I679" s="121">
        <v>0</v>
      </c>
      <c r="J679" s="121">
        <f t="shared" si="87"/>
        <v>97.7030723067527</v>
      </c>
    </row>
    <row r="680" spans="1:10" ht="24">
      <c r="A680" s="134" t="s">
        <v>1400</v>
      </c>
      <c r="B680" s="127" t="s">
        <v>1625</v>
      </c>
      <c r="C680" s="127" t="s">
        <v>1626</v>
      </c>
      <c r="D680" s="127" t="s">
        <v>651</v>
      </c>
      <c r="E680" s="127" t="s">
        <v>1436</v>
      </c>
      <c r="F680" s="135">
        <v>0</v>
      </c>
      <c r="G680" s="135">
        <f>1600-23</f>
        <v>1577</v>
      </c>
      <c r="H680" s="135">
        <v>1279.3</v>
      </c>
      <c r="I680" s="121">
        <v>0</v>
      </c>
      <c r="J680" s="121">
        <f t="shared" si="87"/>
        <v>81.12238427393785</v>
      </c>
    </row>
    <row r="681" spans="1:10" ht="36">
      <c r="A681" s="129" t="s">
        <v>752</v>
      </c>
      <c r="B681" s="127" t="s">
        <v>1625</v>
      </c>
      <c r="C681" s="127" t="s">
        <v>1626</v>
      </c>
      <c r="D681" s="127" t="s">
        <v>651</v>
      </c>
      <c r="E681" s="127" t="s">
        <v>751</v>
      </c>
      <c r="F681" s="132">
        <f>F682</f>
        <v>13752</v>
      </c>
      <c r="G681" s="132">
        <f>G682</f>
        <v>20061</v>
      </c>
      <c r="H681" s="132">
        <f>H682</f>
        <v>18078.5</v>
      </c>
      <c r="I681" s="121">
        <f t="shared" si="86"/>
        <v>131.4608784176847</v>
      </c>
      <c r="J681" s="121">
        <f t="shared" si="87"/>
        <v>90.11764119435722</v>
      </c>
    </row>
    <row r="682" spans="1:10" ht="15.75">
      <c r="A682" s="134" t="s">
        <v>996</v>
      </c>
      <c r="B682" s="127" t="s">
        <v>1625</v>
      </c>
      <c r="C682" s="127" t="s">
        <v>1626</v>
      </c>
      <c r="D682" s="127" t="s">
        <v>651</v>
      </c>
      <c r="E682" s="127" t="s">
        <v>1502</v>
      </c>
      <c r="F682" s="135">
        <f>13752</f>
        <v>13752</v>
      </c>
      <c r="G682" s="135">
        <f>13752+1800+200-791+5500-900+500</f>
        <v>20061</v>
      </c>
      <c r="H682" s="135">
        <v>18078.5</v>
      </c>
      <c r="I682" s="121">
        <f t="shared" si="86"/>
        <v>131.4608784176847</v>
      </c>
      <c r="J682" s="121">
        <f t="shared" si="87"/>
        <v>90.11764119435722</v>
      </c>
    </row>
    <row r="683" spans="1:10" ht="24" hidden="1">
      <c r="A683" s="134" t="s">
        <v>995</v>
      </c>
      <c r="B683" s="127" t="s">
        <v>1625</v>
      </c>
      <c r="C683" s="127" t="s">
        <v>1626</v>
      </c>
      <c r="D683" s="127" t="s">
        <v>651</v>
      </c>
      <c r="E683" s="127" t="s">
        <v>1503</v>
      </c>
      <c r="F683" s="135">
        <v>0</v>
      </c>
      <c r="G683" s="135">
        <v>0</v>
      </c>
      <c r="H683" s="135">
        <v>0</v>
      </c>
      <c r="I683" s="121" t="e">
        <f t="shared" si="86"/>
        <v>#DIV/0!</v>
      </c>
      <c r="J683" s="121" t="e">
        <f t="shared" si="87"/>
        <v>#DIV/0!</v>
      </c>
    </row>
    <row r="684" spans="1:10" ht="15.75">
      <c r="A684" s="144" t="s">
        <v>1721</v>
      </c>
      <c r="B684" s="127" t="s">
        <v>815</v>
      </c>
      <c r="C684" s="127" t="s">
        <v>1621</v>
      </c>
      <c r="D684" s="127"/>
      <c r="E684" s="127"/>
      <c r="F684" s="132">
        <f>F685+F744</f>
        <v>427393</v>
      </c>
      <c r="G684" s="132">
        <f>G685+G744</f>
        <v>459653.10000000003</v>
      </c>
      <c r="H684" s="132">
        <f>H685+H744</f>
        <v>454092.9</v>
      </c>
      <c r="I684" s="121">
        <f t="shared" si="86"/>
        <v>106.24715425849278</v>
      </c>
      <c r="J684" s="121">
        <f t="shared" si="87"/>
        <v>98.79034863465513</v>
      </c>
    </row>
    <row r="685" spans="1:10" ht="15.75">
      <c r="A685" s="133" t="s">
        <v>965</v>
      </c>
      <c r="B685" s="124" t="s">
        <v>815</v>
      </c>
      <c r="C685" s="124" t="s">
        <v>1594</v>
      </c>
      <c r="D685" s="124"/>
      <c r="E685" s="124"/>
      <c r="F685" s="132">
        <f>F686+F722+F741+F735</f>
        <v>308160</v>
      </c>
      <c r="G685" s="132">
        <f>G686+G722+G741+G735</f>
        <v>340565.7</v>
      </c>
      <c r="H685" s="132">
        <f>H686+H722+H741+H735</f>
        <v>337639</v>
      </c>
      <c r="I685" s="121">
        <f t="shared" si="86"/>
        <v>109.56613447559708</v>
      </c>
      <c r="J685" s="121">
        <f t="shared" si="87"/>
        <v>99.14063571287419</v>
      </c>
    </row>
    <row r="686" spans="1:10" ht="36">
      <c r="A686" s="160" t="s">
        <v>1451</v>
      </c>
      <c r="B686" s="124" t="s">
        <v>815</v>
      </c>
      <c r="C686" s="124" t="s">
        <v>1594</v>
      </c>
      <c r="D686" s="124" t="s">
        <v>14</v>
      </c>
      <c r="E686" s="124"/>
      <c r="F686" s="132">
        <f>F687+F689+F691+F696+F700+F707</f>
        <v>308160</v>
      </c>
      <c r="G686" s="132">
        <f>G687+G689+G691+G696+G700+G707</f>
        <v>323173.60000000003</v>
      </c>
      <c r="H686" s="132">
        <f>H687+H689+H691+H696+H700+H707</f>
        <v>321237</v>
      </c>
      <c r="I686" s="121">
        <f t="shared" si="86"/>
        <v>104.24357476635512</v>
      </c>
      <c r="J686" s="121">
        <f t="shared" si="87"/>
        <v>99.40075550725676</v>
      </c>
    </row>
    <row r="687" spans="1:10" ht="36">
      <c r="A687" s="129" t="s">
        <v>752</v>
      </c>
      <c r="B687" s="124" t="s">
        <v>815</v>
      </c>
      <c r="C687" s="124" t="s">
        <v>1594</v>
      </c>
      <c r="D687" s="124" t="s">
        <v>521</v>
      </c>
      <c r="E687" s="124" t="s">
        <v>751</v>
      </c>
      <c r="F687" s="132">
        <f>F688</f>
        <v>211809</v>
      </c>
      <c r="G687" s="132">
        <f>G688</f>
        <v>198911.4</v>
      </c>
      <c r="H687" s="132">
        <f>H688</f>
        <v>198911.4</v>
      </c>
      <c r="I687" s="121">
        <f t="shared" si="86"/>
        <v>93.91074033681288</v>
      </c>
      <c r="J687" s="121">
        <f t="shared" si="87"/>
        <v>100</v>
      </c>
    </row>
    <row r="688" spans="1:10" ht="24">
      <c r="A688" s="134" t="s">
        <v>753</v>
      </c>
      <c r="B688" s="124" t="s">
        <v>815</v>
      </c>
      <c r="C688" s="124" t="s">
        <v>1594</v>
      </c>
      <c r="D688" s="124" t="s">
        <v>521</v>
      </c>
      <c r="E688" s="124" t="s">
        <v>1436</v>
      </c>
      <c r="F688" s="135">
        <f>211809</f>
        <v>211809</v>
      </c>
      <c r="G688" s="135">
        <f>211809-11440-7500-57.6+4800+1300</f>
        <v>198911.4</v>
      </c>
      <c r="H688" s="135">
        <f>211809-11440-7500-57.6+4800+1300</f>
        <v>198911.4</v>
      </c>
      <c r="I688" s="121">
        <f t="shared" si="86"/>
        <v>93.91074033681288</v>
      </c>
      <c r="J688" s="121">
        <f t="shared" si="87"/>
        <v>100</v>
      </c>
    </row>
    <row r="689" spans="1:10" ht="36">
      <c r="A689" s="129" t="s">
        <v>752</v>
      </c>
      <c r="B689" s="124" t="s">
        <v>815</v>
      </c>
      <c r="C689" s="124" t="s">
        <v>1594</v>
      </c>
      <c r="D689" s="124" t="s">
        <v>527</v>
      </c>
      <c r="E689" s="124" t="s">
        <v>751</v>
      </c>
      <c r="F689" s="132">
        <f>F690</f>
        <v>4610</v>
      </c>
      <c r="G689" s="132">
        <f>G690</f>
        <v>4558.7</v>
      </c>
      <c r="H689" s="132">
        <f>H690</f>
        <v>4524.4</v>
      </c>
      <c r="I689" s="121">
        <f t="shared" si="86"/>
        <v>98.14316702819956</v>
      </c>
      <c r="J689" s="121">
        <f t="shared" si="87"/>
        <v>99.24759251541009</v>
      </c>
    </row>
    <row r="690" spans="1:10" ht="15.75">
      <c r="A690" s="134" t="s">
        <v>1212</v>
      </c>
      <c r="B690" s="124" t="s">
        <v>815</v>
      </c>
      <c r="C690" s="124" t="s">
        <v>1594</v>
      </c>
      <c r="D690" s="124" t="s">
        <v>527</v>
      </c>
      <c r="E690" s="124" t="s">
        <v>1436</v>
      </c>
      <c r="F690" s="135">
        <f>4610</f>
        <v>4610</v>
      </c>
      <c r="G690" s="135">
        <f>4610-200+148.7</f>
        <v>4558.7</v>
      </c>
      <c r="H690" s="135">
        <v>4524.4</v>
      </c>
      <c r="I690" s="121">
        <f t="shared" si="86"/>
        <v>98.14316702819956</v>
      </c>
      <c r="J690" s="121">
        <f t="shared" si="87"/>
        <v>99.24759251541009</v>
      </c>
    </row>
    <row r="691" spans="1:10" ht="36">
      <c r="A691" s="129" t="s">
        <v>752</v>
      </c>
      <c r="B691" s="124" t="s">
        <v>815</v>
      </c>
      <c r="C691" s="124" t="s">
        <v>1594</v>
      </c>
      <c r="D691" s="124" t="s">
        <v>524</v>
      </c>
      <c r="E691" s="124" t="s">
        <v>751</v>
      </c>
      <c r="F691" s="132">
        <f>F692+F694</f>
        <v>5000</v>
      </c>
      <c r="G691" s="132">
        <f>G692+G694</f>
        <v>14590.1</v>
      </c>
      <c r="H691" s="132">
        <f>H692+H694</f>
        <v>14554.4</v>
      </c>
      <c r="I691" s="121">
        <f t="shared" si="86"/>
        <v>291.088</v>
      </c>
      <c r="J691" s="121">
        <f t="shared" si="87"/>
        <v>99.75531353451997</v>
      </c>
    </row>
    <row r="692" spans="1:10" ht="24">
      <c r="A692" s="134" t="s">
        <v>753</v>
      </c>
      <c r="B692" s="124" t="s">
        <v>815</v>
      </c>
      <c r="C692" s="124" t="s">
        <v>1594</v>
      </c>
      <c r="D692" s="124" t="s">
        <v>524</v>
      </c>
      <c r="E692" s="124" t="s">
        <v>1436</v>
      </c>
      <c r="F692" s="135">
        <f>F693</f>
        <v>5000</v>
      </c>
      <c r="G692" s="135">
        <f>G693</f>
        <v>13990.1</v>
      </c>
      <c r="H692" s="135">
        <f>H693</f>
        <v>13954.4</v>
      </c>
      <c r="I692" s="121">
        <f t="shared" si="86"/>
        <v>279.088</v>
      </c>
      <c r="J692" s="121">
        <f t="shared" si="87"/>
        <v>99.74481955096817</v>
      </c>
    </row>
    <row r="693" spans="1:10" ht="24">
      <c r="A693" s="134" t="s">
        <v>636</v>
      </c>
      <c r="B693" s="124" t="s">
        <v>815</v>
      </c>
      <c r="C693" s="124" t="s">
        <v>1594</v>
      </c>
      <c r="D693" s="124" t="s">
        <v>524</v>
      </c>
      <c r="E693" s="124" t="s">
        <v>1436</v>
      </c>
      <c r="F693" s="135">
        <f>5000</f>
        <v>5000</v>
      </c>
      <c r="G693" s="135">
        <f>5000+3552.1+485+115+228+3190+475+945</f>
        <v>13990.1</v>
      </c>
      <c r="H693" s="135">
        <v>13954.4</v>
      </c>
      <c r="I693" s="121">
        <f t="shared" si="86"/>
        <v>279.088</v>
      </c>
      <c r="J693" s="121">
        <f t="shared" si="87"/>
        <v>99.74481955096817</v>
      </c>
    </row>
    <row r="694" spans="1:10" ht="24">
      <c r="A694" s="134" t="s">
        <v>1687</v>
      </c>
      <c r="B694" s="124" t="s">
        <v>815</v>
      </c>
      <c r="C694" s="124" t="s">
        <v>1594</v>
      </c>
      <c r="D694" s="124" t="s">
        <v>524</v>
      </c>
      <c r="E694" s="124" t="s">
        <v>1502</v>
      </c>
      <c r="F694" s="132">
        <f>F695</f>
        <v>0</v>
      </c>
      <c r="G694" s="132">
        <f>G695</f>
        <v>600</v>
      </c>
      <c r="H694" s="132">
        <f>H695</f>
        <v>600</v>
      </c>
      <c r="I694" s="121">
        <v>0</v>
      </c>
      <c r="J694" s="121">
        <f t="shared" si="87"/>
        <v>100</v>
      </c>
    </row>
    <row r="695" spans="1:10" ht="24">
      <c r="A695" s="134" t="s">
        <v>636</v>
      </c>
      <c r="B695" s="124" t="s">
        <v>815</v>
      </c>
      <c r="C695" s="124" t="s">
        <v>1594</v>
      </c>
      <c r="D695" s="124" t="s">
        <v>524</v>
      </c>
      <c r="E695" s="124" t="s">
        <v>1502</v>
      </c>
      <c r="F695" s="135">
        <v>0</v>
      </c>
      <c r="G695" s="135">
        <f>600</f>
        <v>600</v>
      </c>
      <c r="H695" s="135">
        <f>600</f>
        <v>600</v>
      </c>
      <c r="I695" s="121">
        <v>0</v>
      </c>
      <c r="J695" s="121">
        <f t="shared" si="87"/>
        <v>100</v>
      </c>
    </row>
    <row r="696" spans="1:10" ht="36">
      <c r="A696" s="129" t="s">
        <v>752</v>
      </c>
      <c r="B696" s="124" t="s">
        <v>815</v>
      </c>
      <c r="C696" s="124" t="s">
        <v>1594</v>
      </c>
      <c r="D696" s="124" t="s">
        <v>521</v>
      </c>
      <c r="E696" s="124" t="s">
        <v>751</v>
      </c>
      <c r="F696" s="132">
        <f>F697</f>
        <v>29442</v>
      </c>
      <c r="G696" s="132">
        <f>G697</f>
        <v>29057</v>
      </c>
      <c r="H696" s="132">
        <f>H697</f>
        <v>29054.4</v>
      </c>
      <c r="I696" s="121">
        <f t="shared" si="86"/>
        <v>98.68351334827797</v>
      </c>
      <c r="J696" s="121">
        <f t="shared" si="87"/>
        <v>99.99105207006917</v>
      </c>
    </row>
    <row r="697" spans="1:10" ht="24">
      <c r="A697" s="134" t="s">
        <v>1687</v>
      </c>
      <c r="B697" s="124" t="s">
        <v>815</v>
      </c>
      <c r="C697" s="124" t="s">
        <v>1594</v>
      </c>
      <c r="D697" s="124" t="s">
        <v>521</v>
      </c>
      <c r="E697" s="124" t="s">
        <v>1502</v>
      </c>
      <c r="F697" s="135">
        <f>29442</f>
        <v>29442</v>
      </c>
      <c r="G697" s="135">
        <f>29442+115+G698+G699-1630+15+150+60+220</f>
        <v>29057</v>
      </c>
      <c r="H697" s="135">
        <v>29054.4</v>
      </c>
      <c r="I697" s="121">
        <f t="shared" si="86"/>
        <v>98.68351334827797</v>
      </c>
      <c r="J697" s="121">
        <f t="shared" si="87"/>
        <v>99.99105207006917</v>
      </c>
    </row>
    <row r="698" spans="1:10" ht="36">
      <c r="A698" s="134" t="s">
        <v>399</v>
      </c>
      <c r="B698" s="124" t="s">
        <v>815</v>
      </c>
      <c r="C698" s="124" t="s">
        <v>1594</v>
      </c>
      <c r="D698" s="124" t="s">
        <v>521</v>
      </c>
      <c r="E698" s="124" t="s">
        <v>1502</v>
      </c>
      <c r="F698" s="135">
        <v>0</v>
      </c>
      <c r="G698" s="135">
        <f>550-50</f>
        <v>500</v>
      </c>
      <c r="H698" s="135">
        <v>499.5</v>
      </c>
      <c r="I698" s="121">
        <v>0</v>
      </c>
      <c r="J698" s="121">
        <f t="shared" si="87"/>
        <v>99.9</v>
      </c>
    </row>
    <row r="699" spans="1:10" ht="36">
      <c r="A699" s="134" t="s">
        <v>400</v>
      </c>
      <c r="B699" s="124" t="s">
        <v>815</v>
      </c>
      <c r="C699" s="124" t="s">
        <v>1594</v>
      </c>
      <c r="D699" s="124" t="s">
        <v>521</v>
      </c>
      <c r="E699" s="124" t="s">
        <v>1502</v>
      </c>
      <c r="F699" s="135">
        <v>0</v>
      </c>
      <c r="G699" s="135">
        <v>185</v>
      </c>
      <c r="H699" s="135">
        <v>182.9</v>
      </c>
      <c r="I699" s="121">
        <v>0</v>
      </c>
      <c r="J699" s="121">
        <f t="shared" si="87"/>
        <v>98.86486486486487</v>
      </c>
    </row>
    <row r="700" spans="1:10" ht="36">
      <c r="A700" s="129" t="s">
        <v>532</v>
      </c>
      <c r="B700" s="124" t="s">
        <v>815</v>
      </c>
      <c r="C700" s="124" t="s">
        <v>1594</v>
      </c>
      <c r="D700" s="124" t="s">
        <v>497</v>
      </c>
      <c r="E700" s="124"/>
      <c r="F700" s="132">
        <f>F701+F705</f>
        <v>52299</v>
      </c>
      <c r="G700" s="132">
        <f>G701+G705</f>
        <v>51493.5</v>
      </c>
      <c r="H700" s="132">
        <f>H701+H705</f>
        <v>51219.7</v>
      </c>
      <c r="I700" s="121">
        <f t="shared" si="86"/>
        <v>97.93628941279947</v>
      </c>
      <c r="J700" s="121">
        <f t="shared" si="87"/>
        <v>99.46828240457532</v>
      </c>
    </row>
    <row r="701" spans="1:10" ht="43.5" customHeight="1">
      <c r="A701" s="177" t="s">
        <v>1390</v>
      </c>
      <c r="B701" s="124" t="s">
        <v>815</v>
      </c>
      <c r="C701" s="124" t="s">
        <v>1594</v>
      </c>
      <c r="D701" s="124" t="s">
        <v>963</v>
      </c>
      <c r="E701" s="124"/>
      <c r="F701" s="132">
        <f aca="true" t="shared" si="89" ref="F701:H702">F702</f>
        <v>0</v>
      </c>
      <c r="G701" s="132">
        <f t="shared" si="89"/>
        <v>65.1</v>
      </c>
      <c r="H701" s="132">
        <f t="shared" si="89"/>
        <v>65</v>
      </c>
      <c r="I701" s="121">
        <v>0</v>
      </c>
      <c r="J701" s="121">
        <f t="shared" si="87"/>
        <v>99.84639016897083</v>
      </c>
    </row>
    <row r="702" spans="1:10" ht="36">
      <c r="A702" s="129" t="s">
        <v>752</v>
      </c>
      <c r="B702" s="124" t="s">
        <v>815</v>
      </c>
      <c r="C702" s="124" t="s">
        <v>1594</v>
      </c>
      <c r="D702" s="124" t="s">
        <v>963</v>
      </c>
      <c r="E702" s="124" t="s">
        <v>751</v>
      </c>
      <c r="F702" s="132">
        <f t="shared" si="89"/>
        <v>0</v>
      </c>
      <c r="G702" s="132">
        <f t="shared" si="89"/>
        <v>65.1</v>
      </c>
      <c r="H702" s="132">
        <f t="shared" si="89"/>
        <v>65</v>
      </c>
      <c r="I702" s="121">
        <v>0</v>
      </c>
      <c r="J702" s="121">
        <f t="shared" si="87"/>
        <v>99.84639016897083</v>
      </c>
    </row>
    <row r="703" spans="1:10" ht="15.75">
      <c r="A703" s="134" t="s">
        <v>1212</v>
      </c>
      <c r="B703" s="124" t="s">
        <v>815</v>
      </c>
      <c r="C703" s="124" t="s">
        <v>1594</v>
      </c>
      <c r="D703" s="124" t="s">
        <v>963</v>
      </c>
      <c r="E703" s="124" t="s">
        <v>1436</v>
      </c>
      <c r="F703" s="135">
        <v>0</v>
      </c>
      <c r="G703" s="135">
        <v>65.1</v>
      </c>
      <c r="H703" s="135">
        <v>65</v>
      </c>
      <c r="I703" s="121">
        <v>0</v>
      </c>
      <c r="J703" s="121">
        <f t="shared" si="87"/>
        <v>99.84639016897083</v>
      </c>
    </row>
    <row r="704" spans="1:10" ht="36">
      <c r="A704" s="129" t="s">
        <v>752</v>
      </c>
      <c r="B704" s="124" t="s">
        <v>815</v>
      </c>
      <c r="C704" s="124" t="s">
        <v>1594</v>
      </c>
      <c r="D704" s="124" t="s">
        <v>523</v>
      </c>
      <c r="E704" s="124" t="s">
        <v>751</v>
      </c>
      <c r="F704" s="132">
        <f>F705</f>
        <v>52299</v>
      </c>
      <c r="G704" s="132">
        <f>G705</f>
        <v>51428.4</v>
      </c>
      <c r="H704" s="132">
        <f>H705</f>
        <v>51154.7</v>
      </c>
      <c r="I704" s="121">
        <f t="shared" si="86"/>
        <v>97.81200405361479</v>
      </c>
      <c r="J704" s="121">
        <f t="shared" si="87"/>
        <v>99.46780378156815</v>
      </c>
    </row>
    <row r="705" spans="1:10" ht="24">
      <c r="A705" s="134" t="s">
        <v>753</v>
      </c>
      <c r="B705" s="124" t="s">
        <v>815</v>
      </c>
      <c r="C705" s="124" t="s">
        <v>1594</v>
      </c>
      <c r="D705" s="124" t="s">
        <v>523</v>
      </c>
      <c r="E705" s="124" t="s">
        <v>1436</v>
      </c>
      <c r="F705" s="135">
        <f>52299+F706</f>
        <v>52299</v>
      </c>
      <c r="G705" s="135">
        <f>52299+G706+1050-2560+220-35-1300+400</f>
        <v>51428.4</v>
      </c>
      <c r="H705" s="135">
        <v>51154.7</v>
      </c>
      <c r="I705" s="121">
        <f t="shared" si="86"/>
        <v>97.81200405361479</v>
      </c>
      <c r="J705" s="121">
        <f t="shared" si="87"/>
        <v>99.46780378156815</v>
      </c>
    </row>
    <row r="706" spans="1:10" ht="48">
      <c r="A706" s="134" t="s">
        <v>1693</v>
      </c>
      <c r="B706" s="124" t="s">
        <v>815</v>
      </c>
      <c r="C706" s="124" t="s">
        <v>1594</v>
      </c>
      <c r="D706" s="124" t="s">
        <v>523</v>
      </c>
      <c r="E706" s="124" t="s">
        <v>1436</v>
      </c>
      <c r="F706" s="135">
        <v>0</v>
      </c>
      <c r="G706" s="135">
        <f>819.4+500+35</f>
        <v>1354.4</v>
      </c>
      <c r="H706" s="135">
        <v>1342.7</v>
      </c>
      <c r="I706" s="121">
        <v>0</v>
      </c>
      <c r="J706" s="121">
        <f t="shared" si="87"/>
        <v>99.13614884819846</v>
      </c>
    </row>
    <row r="707" spans="1:10" ht="48">
      <c r="A707" s="134" t="s">
        <v>531</v>
      </c>
      <c r="B707" s="124" t="s">
        <v>815</v>
      </c>
      <c r="C707" s="124" t="s">
        <v>1594</v>
      </c>
      <c r="D707" s="124" t="s">
        <v>1350</v>
      </c>
      <c r="E707" s="124"/>
      <c r="F707" s="132">
        <f>F708+F720</f>
        <v>5000</v>
      </c>
      <c r="G707" s="132">
        <f>G708+G720</f>
        <v>24562.899999999998</v>
      </c>
      <c r="H707" s="132">
        <f>H708+H720</f>
        <v>22972.7</v>
      </c>
      <c r="I707" s="121">
        <f t="shared" si="86"/>
        <v>459.454</v>
      </c>
      <c r="J707" s="121">
        <f t="shared" si="87"/>
        <v>93.52600873675341</v>
      </c>
    </row>
    <row r="708" spans="1:10" ht="36">
      <c r="A708" s="129" t="s">
        <v>752</v>
      </c>
      <c r="B708" s="124" t="s">
        <v>815</v>
      </c>
      <c r="C708" s="124" t="s">
        <v>1594</v>
      </c>
      <c r="D708" s="124" t="s">
        <v>533</v>
      </c>
      <c r="E708" s="124" t="s">
        <v>751</v>
      </c>
      <c r="F708" s="132">
        <f>F709+F718</f>
        <v>5000</v>
      </c>
      <c r="G708" s="132">
        <f>G709+G718</f>
        <v>24497.899999999998</v>
      </c>
      <c r="H708" s="132">
        <f>H709+H718</f>
        <v>22907.7</v>
      </c>
      <c r="I708" s="121">
        <f t="shared" si="86"/>
        <v>458.15400000000005</v>
      </c>
      <c r="J708" s="121">
        <f t="shared" si="87"/>
        <v>93.50883136921941</v>
      </c>
    </row>
    <row r="709" spans="1:10" ht="24">
      <c r="A709" s="134" t="s">
        <v>753</v>
      </c>
      <c r="B709" s="124" t="s">
        <v>815</v>
      </c>
      <c r="C709" s="124" t="s">
        <v>1594</v>
      </c>
      <c r="D709" s="124" t="s">
        <v>533</v>
      </c>
      <c r="E709" s="124" t="s">
        <v>1436</v>
      </c>
      <c r="F709" s="135">
        <f>F710+F711+F712+F713+F714+F715+F716+F717</f>
        <v>5000</v>
      </c>
      <c r="G709" s="135">
        <f>G710+G711+G712+G713+G714+G715+G716+G717</f>
        <v>23611.899999999998</v>
      </c>
      <c r="H709" s="135">
        <f>SUM(H710:H717)</f>
        <v>22057.7</v>
      </c>
      <c r="I709" s="121">
        <f t="shared" si="86"/>
        <v>441.15400000000005</v>
      </c>
      <c r="J709" s="121">
        <f t="shared" si="87"/>
        <v>93.41772580774949</v>
      </c>
    </row>
    <row r="710" spans="1:10" ht="48">
      <c r="A710" s="134" t="s">
        <v>836</v>
      </c>
      <c r="B710" s="124" t="s">
        <v>815</v>
      </c>
      <c r="C710" s="124" t="s">
        <v>1594</v>
      </c>
      <c r="D710" s="124" t="s">
        <v>533</v>
      </c>
      <c r="E710" s="124" t="s">
        <v>1436</v>
      </c>
      <c r="F710" s="135">
        <f>5000</f>
        <v>5000</v>
      </c>
      <c r="G710" s="135">
        <f>5000+10800+966.6</f>
        <v>16766.6</v>
      </c>
      <c r="H710" s="135">
        <v>16203.6</v>
      </c>
      <c r="I710" s="121">
        <f t="shared" si="86"/>
        <v>324.072</v>
      </c>
      <c r="J710" s="121">
        <f t="shared" si="87"/>
        <v>96.64213376593945</v>
      </c>
    </row>
    <row r="711" spans="1:10" ht="48">
      <c r="A711" s="134" t="s">
        <v>1542</v>
      </c>
      <c r="B711" s="124" t="s">
        <v>815</v>
      </c>
      <c r="C711" s="124" t="s">
        <v>1594</v>
      </c>
      <c r="D711" s="124" t="s">
        <v>533</v>
      </c>
      <c r="E711" s="124" t="s">
        <v>1436</v>
      </c>
      <c r="F711" s="135">
        <v>0</v>
      </c>
      <c r="G711" s="135">
        <v>4000</v>
      </c>
      <c r="H711" s="135">
        <v>3247.6</v>
      </c>
      <c r="I711" s="121">
        <v>0</v>
      </c>
      <c r="J711" s="121">
        <f t="shared" si="87"/>
        <v>81.19</v>
      </c>
    </row>
    <row r="712" spans="1:10" ht="48">
      <c r="A712" s="134" t="s">
        <v>401</v>
      </c>
      <c r="B712" s="124" t="s">
        <v>815</v>
      </c>
      <c r="C712" s="124" t="s">
        <v>1594</v>
      </c>
      <c r="D712" s="124" t="s">
        <v>533</v>
      </c>
      <c r="E712" s="124" t="s">
        <v>1436</v>
      </c>
      <c r="F712" s="135">
        <v>0</v>
      </c>
      <c r="G712" s="135">
        <v>250.3</v>
      </c>
      <c r="H712" s="135">
        <v>200</v>
      </c>
      <c r="I712" s="121">
        <v>0</v>
      </c>
      <c r="J712" s="121">
        <f t="shared" si="87"/>
        <v>79.90411506192568</v>
      </c>
    </row>
    <row r="713" spans="1:10" ht="36">
      <c r="A713" s="134" t="s">
        <v>402</v>
      </c>
      <c r="B713" s="124" t="s">
        <v>815</v>
      </c>
      <c r="C713" s="124" t="s">
        <v>1594</v>
      </c>
      <c r="D713" s="124" t="s">
        <v>533</v>
      </c>
      <c r="E713" s="124" t="s">
        <v>1436</v>
      </c>
      <c r="F713" s="135">
        <v>0</v>
      </c>
      <c r="G713" s="135">
        <v>260</v>
      </c>
      <c r="H713" s="135">
        <v>260</v>
      </c>
      <c r="I713" s="121">
        <v>0</v>
      </c>
      <c r="J713" s="121">
        <f t="shared" si="87"/>
        <v>100</v>
      </c>
    </row>
    <row r="714" spans="1:10" ht="72">
      <c r="A714" s="134" t="s">
        <v>403</v>
      </c>
      <c r="B714" s="124" t="s">
        <v>815</v>
      </c>
      <c r="C714" s="124" t="s">
        <v>1594</v>
      </c>
      <c r="D714" s="124" t="s">
        <v>533</v>
      </c>
      <c r="E714" s="124" t="s">
        <v>1436</v>
      </c>
      <c r="F714" s="135">
        <f>3568.8-3568.8</f>
        <v>0</v>
      </c>
      <c r="G714" s="135">
        <f>3568.8-3568.8</f>
        <v>0</v>
      </c>
      <c r="H714" s="135">
        <f>3568.8-3568.8</f>
        <v>0</v>
      </c>
      <c r="I714" s="121">
        <v>0</v>
      </c>
      <c r="J714" s="121">
        <v>0</v>
      </c>
    </row>
    <row r="715" spans="1:10" ht="36">
      <c r="A715" s="165" t="s">
        <v>404</v>
      </c>
      <c r="B715" s="166" t="s">
        <v>815</v>
      </c>
      <c r="C715" s="166" t="s">
        <v>1594</v>
      </c>
      <c r="D715" s="166" t="s">
        <v>533</v>
      </c>
      <c r="E715" s="166" t="s">
        <v>1436</v>
      </c>
      <c r="F715" s="167">
        <v>0</v>
      </c>
      <c r="G715" s="167">
        <f>300-20</f>
        <v>280</v>
      </c>
      <c r="H715" s="167">
        <f>300-20</f>
        <v>280</v>
      </c>
      <c r="I715" s="121">
        <v>0</v>
      </c>
      <c r="J715" s="121">
        <f t="shared" si="87"/>
        <v>100</v>
      </c>
    </row>
    <row r="716" spans="1:10" ht="48">
      <c r="A716" s="165" t="s">
        <v>869</v>
      </c>
      <c r="B716" s="166" t="s">
        <v>815</v>
      </c>
      <c r="C716" s="166" t="s">
        <v>1594</v>
      </c>
      <c r="D716" s="166" t="s">
        <v>533</v>
      </c>
      <c r="E716" s="166" t="s">
        <v>1436</v>
      </c>
      <c r="F716" s="167">
        <v>0</v>
      </c>
      <c r="G716" s="167">
        <v>1575</v>
      </c>
      <c r="H716" s="167">
        <v>1493.5</v>
      </c>
      <c r="I716" s="121">
        <v>0</v>
      </c>
      <c r="J716" s="121">
        <f t="shared" si="87"/>
        <v>94.82539682539682</v>
      </c>
    </row>
    <row r="717" spans="1:10" ht="36">
      <c r="A717" s="165" t="s">
        <v>1306</v>
      </c>
      <c r="B717" s="166" t="s">
        <v>815</v>
      </c>
      <c r="C717" s="166" t="s">
        <v>1594</v>
      </c>
      <c r="D717" s="166" t="s">
        <v>533</v>
      </c>
      <c r="E717" s="166" t="s">
        <v>1436</v>
      </c>
      <c r="F717" s="167">
        <v>0</v>
      </c>
      <c r="G717" s="167">
        <v>480</v>
      </c>
      <c r="H717" s="167">
        <v>373</v>
      </c>
      <c r="I717" s="121">
        <v>0</v>
      </c>
      <c r="J717" s="121">
        <f t="shared" si="87"/>
        <v>77.70833333333333</v>
      </c>
    </row>
    <row r="718" spans="1:10" ht="24">
      <c r="A718" s="134" t="s">
        <v>1687</v>
      </c>
      <c r="B718" s="166" t="s">
        <v>815</v>
      </c>
      <c r="C718" s="166" t="s">
        <v>1594</v>
      </c>
      <c r="D718" s="166" t="s">
        <v>533</v>
      </c>
      <c r="E718" s="166" t="s">
        <v>751</v>
      </c>
      <c r="F718" s="171">
        <f>F719</f>
        <v>0</v>
      </c>
      <c r="G718" s="171">
        <f>G719</f>
        <v>886</v>
      </c>
      <c r="H718" s="171">
        <f>H719</f>
        <v>850</v>
      </c>
      <c r="I718" s="121">
        <v>0</v>
      </c>
      <c r="J718" s="121">
        <f t="shared" si="87"/>
        <v>95.93679458239278</v>
      </c>
    </row>
    <row r="719" spans="1:10" ht="24">
      <c r="A719" s="134" t="s">
        <v>870</v>
      </c>
      <c r="B719" s="166" t="s">
        <v>815</v>
      </c>
      <c r="C719" s="166" t="s">
        <v>1594</v>
      </c>
      <c r="D719" s="166" t="s">
        <v>533</v>
      </c>
      <c r="E719" s="166" t="s">
        <v>1502</v>
      </c>
      <c r="F719" s="167">
        <v>0</v>
      </c>
      <c r="G719" s="167">
        <v>886</v>
      </c>
      <c r="H719" s="167">
        <v>850</v>
      </c>
      <c r="I719" s="121">
        <v>0</v>
      </c>
      <c r="J719" s="121">
        <f t="shared" si="87"/>
        <v>95.93679458239278</v>
      </c>
    </row>
    <row r="720" spans="1:10" ht="36">
      <c r="A720" s="129" t="s">
        <v>752</v>
      </c>
      <c r="B720" s="124" t="s">
        <v>815</v>
      </c>
      <c r="C720" s="124" t="s">
        <v>1594</v>
      </c>
      <c r="D720" s="124" t="s">
        <v>405</v>
      </c>
      <c r="E720" s="124" t="s">
        <v>751</v>
      </c>
      <c r="F720" s="132">
        <f>F721</f>
        <v>0</v>
      </c>
      <c r="G720" s="132">
        <f>G721</f>
        <v>65</v>
      </c>
      <c r="H720" s="132">
        <f>H721</f>
        <v>65</v>
      </c>
      <c r="I720" s="121">
        <v>0</v>
      </c>
      <c r="J720" s="121">
        <f aca="true" t="shared" si="90" ref="J720:J783">H720/G720*100</f>
        <v>100</v>
      </c>
    </row>
    <row r="721" spans="1:10" ht="36">
      <c r="A721" s="134" t="s">
        <v>406</v>
      </c>
      <c r="B721" s="124" t="s">
        <v>815</v>
      </c>
      <c r="C721" s="124" t="s">
        <v>1594</v>
      </c>
      <c r="D721" s="124" t="s">
        <v>405</v>
      </c>
      <c r="E721" s="124" t="s">
        <v>1436</v>
      </c>
      <c r="F721" s="135">
        <v>0</v>
      </c>
      <c r="G721" s="135">
        <v>65</v>
      </c>
      <c r="H721" s="135">
        <v>65</v>
      </c>
      <c r="I721" s="121">
        <v>0</v>
      </c>
      <c r="J721" s="121">
        <f t="shared" si="90"/>
        <v>100</v>
      </c>
    </row>
    <row r="722" spans="1:10" ht="36">
      <c r="A722" s="141" t="s">
        <v>711</v>
      </c>
      <c r="B722" s="124" t="s">
        <v>815</v>
      </c>
      <c r="C722" s="124" t="s">
        <v>1594</v>
      </c>
      <c r="D722" s="124" t="s">
        <v>1589</v>
      </c>
      <c r="E722" s="124"/>
      <c r="F722" s="132">
        <f>F723</f>
        <v>0</v>
      </c>
      <c r="G722" s="132">
        <f>G723</f>
        <v>11559.1</v>
      </c>
      <c r="H722" s="132">
        <f>H723</f>
        <v>11555.5</v>
      </c>
      <c r="I722" s="121">
        <v>0</v>
      </c>
      <c r="J722" s="121">
        <f t="shared" si="90"/>
        <v>99.96885570675917</v>
      </c>
    </row>
    <row r="723" spans="1:10" ht="24">
      <c r="A723" s="129" t="s">
        <v>685</v>
      </c>
      <c r="B723" s="124" t="s">
        <v>815</v>
      </c>
      <c r="C723" s="124" t="s">
        <v>1594</v>
      </c>
      <c r="D723" s="124" t="s">
        <v>1485</v>
      </c>
      <c r="E723" s="124"/>
      <c r="F723" s="132">
        <f>F724+F728+F731</f>
        <v>0</v>
      </c>
      <c r="G723" s="132">
        <f>G724+G728+G731</f>
        <v>11559.1</v>
      </c>
      <c r="H723" s="132">
        <f>H724+H728+H731</f>
        <v>11555.5</v>
      </c>
      <c r="I723" s="121">
        <v>0</v>
      </c>
      <c r="J723" s="121">
        <f t="shared" si="90"/>
        <v>99.96885570675917</v>
      </c>
    </row>
    <row r="724" spans="1:10" ht="96">
      <c r="A724" s="134" t="s">
        <v>871</v>
      </c>
      <c r="B724" s="124" t="s">
        <v>815</v>
      </c>
      <c r="C724" s="124" t="s">
        <v>1594</v>
      </c>
      <c r="D724" s="124" t="s">
        <v>604</v>
      </c>
      <c r="E724" s="124"/>
      <c r="F724" s="132">
        <f aca="true" t="shared" si="91" ref="F724:H726">F725</f>
        <v>0</v>
      </c>
      <c r="G724" s="132">
        <f t="shared" si="91"/>
        <v>2370.2</v>
      </c>
      <c r="H724" s="132">
        <f t="shared" si="91"/>
        <v>2370</v>
      </c>
      <c r="I724" s="121">
        <v>0</v>
      </c>
      <c r="J724" s="121">
        <f t="shared" si="90"/>
        <v>99.9915618935111</v>
      </c>
    </row>
    <row r="725" spans="1:10" ht="36">
      <c r="A725" s="129" t="s">
        <v>752</v>
      </c>
      <c r="B725" s="124" t="s">
        <v>815</v>
      </c>
      <c r="C725" s="124" t="s">
        <v>1594</v>
      </c>
      <c r="D725" s="124" t="s">
        <v>604</v>
      </c>
      <c r="E725" s="124" t="s">
        <v>751</v>
      </c>
      <c r="F725" s="132">
        <f t="shared" si="91"/>
        <v>0</v>
      </c>
      <c r="G725" s="132">
        <f t="shared" si="91"/>
        <v>2370.2</v>
      </c>
      <c r="H725" s="132">
        <f t="shared" si="91"/>
        <v>2370</v>
      </c>
      <c r="I725" s="121">
        <v>0</v>
      </c>
      <c r="J725" s="121">
        <f t="shared" si="90"/>
        <v>99.9915618935111</v>
      </c>
    </row>
    <row r="726" spans="1:10" ht="24">
      <c r="A726" s="134" t="s">
        <v>753</v>
      </c>
      <c r="B726" s="124" t="s">
        <v>815</v>
      </c>
      <c r="C726" s="124" t="s">
        <v>1594</v>
      </c>
      <c r="D726" s="124" t="s">
        <v>604</v>
      </c>
      <c r="E726" s="124" t="s">
        <v>1436</v>
      </c>
      <c r="F726" s="135">
        <f t="shared" si="91"/>
        <v>0</v>
      </c>
      <c r="G726" s="135">
        <f t="shared" si="91"/>
        <v>2370.2</v>
      </c>
      <c r="H726" s="135">
        <f t="shared" si="91"/>
        <v>2370</v>
      </c>
      <c r="I726" s="121">
        <v>0</v>
      </c>
      <c r="J726" s="121">
        <f t="shared" si="90"/>
        <v>99.9915618935111</v>
      </c>
    </row>
    <row r="727" spans="1:10" ht="36">
      <c r="A727" s="134" t="s">
        <v>1543</v>
      </c>
      <c r="B727" s="124" t="s">
        <v>815</v>
      </c>
      <c r="C727" s="124" t="s">
        <v>1594</v>
      </c>
      <c r="D727" s="124" t="s">
        <v>604</v>
      </c>
      <c r="E727" s="124" t="s">
        <v>1436</v>
      </c>
      <c r="F727" s="135">
        <v>0</v>
      </c>
      <c r="G727" s="135">
        <f>2370+0.2</f>
        <v>2370.2</v>
      </c>
      <c r="H727" s="135">
        <f>2370</f>
        <v>2370</v>
      </c>
      <c r="I727" s="121">
        <v>0</v>
      </c>
      <c r="J727" s="121">
        <f t="shared" si="90"/>
        <v>99.9915618935111</v>
      </c>
    </row>
    <row r="728" spans="1:10" ht="36">
      <c r="A728" s="129" t="s">
        <v>752</v>
      </c>
      <c r="B728" s="124" t="s">
        <v>815</v>
      </c>
      <c r="C728" s="124" t="s">
        <v>1594</v>
      </c>
      <c r="D728" s="124" t="s">
        <v>872</v>
      </c>
      <c r="E728" s="124" t="s">
        <v>751</v>
      </c>
      <c r="F728" s="132">
        <f aca="true" t="shared" si="92" ref="F728:H729">F729</f>
        <v>0</v>
      </c>
      <c r="G728" s="132">
        <f t="shared" si="92"/>
        <v>3658.6000000000004</v>
      </c>
      <c r="H728" s="132">
        <f t="shared" si="92"/>
        <v>3655.5</v>
      </c>
      <c r="I728" s="121">
        <v>0</v>
      </c>
      <c r="J728" s="121">
        <f t="shared" si="90"/>
        <v>99.9152681353523</v>
      </c>
    </row>
    <row r="729" spans="1:10" ht="24">
      <c r="A729" s="134" t="s">
        <v>753</v>
      </c>
      <c r="B729" s="124" t="s">
        <v>815</v>
      </c>
      <c r="C729" s="124" t="s">
        <v>1594</v>
      </c>
      <c r="D729" s="124" t="s">
        <v>872</v>
      </c>
      <c r="E729" s="124" t="s">
        <v>1436</v>
      </c>
      <c r="F729" s="132">
        <f t="shared" si="92"/>
        <v>0</v>
      </c>
      <c r="G729" s="132">
        <f t="shared" si="92"/>
        <v>3658.6000000000004</v>
      </c>
      <c r="H729" s="132">
        <f t="shared" si="92"/>
        <v>3655.5</v>
      </c>
      <c r="I729" s="121">
        <v>0</v>
      </c>
      <c r="J729" s="121">
        <f t="shared" si="90"/>
        <v>99.9152681353523</v>
      </c>
    </row>
    <row r="730" spans="1:10" ht="60">
      <c r="A730" s="134" t="s">
        <v>1479</v>
      </c>
      <c r="B730" s="124" t="s">
        <v>815</v>
      </c>
      <c r="C730" s="124" t="s">
        <v>1594</v>
      </c>
      <c r="D730" s="124" t="s">
        <v>872</v>
      </c>
      <c r="E730" s="124" t="s">
        <v>1436</v>
      </c>
      <c r="F730" s="135">
        <v>0</v>
      </c>
      <c r="G730" s="135">
        <f>2968.8-0.2+690</f>
        <v>3658.6000000000004</v>
      </c>
      <c r="H730" s="135">
        <v>3655.5</v>
      </c>
      <c r="I730" s="121">
        <v>0</v>
      </c>
      <c r="J730" s="121">
        <f t="shared" si="90"/>
        <v>99.9152681353523</v>
      </c>
    </row>
    <row r="731" spans="1:10" ht="36">
      <c r="A731" s="134" t="s">
        <v>1474</v>
      </c>
      <c r="B731" s="124" t="s">
        <v>815</v>
      </c>
      <c r="C731" s="124" t="s">
        <v>1594</v>
      </c>
      <c r="D731" s="124" t="s">
        <v>1475</v>
      </c>
      <c r="E731" s="124"/>
      <c r="F731" s="132">
        <f aca="true" t="shared" si="93" ref="F731:H733">F732</f>
        <v>0</v>
      </c>
      <c r="G731" s="132">
        <f t="shared" si="93"/>
        <v>5530.3</v>
      </c>
      <c r="H731" s="132">
        <f t="shared" si="93"/>
        <v>5530</v>
      </c>
      <c r="I731" s="121">
        <v>0</v>
      </c>
      <c r="J731" s="121">
        <f t="shared" si="90"/>
        <v>99.99457533949332</v>
      </c>
    </row>
    <row r="732" spans="1:10" ht="36">
      <c r="A732" s="129" t="s">
        <v>752</v>
      </c>
      <c r="B732" s="124" t="s">
        <v>815</v>
      </c>
      <c r="C732" s="124" t="s">
        <v>1594</v>
      </c>
      <c r="D732" s="124" t="s">
        <v>1475</v>
      </c>
      <c r="E732" s="124" t="s">
        <v>751</v>
      </c>
      <c r="F732" s="132">
        <f t="shared" si="93"/>
        <v>0</v>
      </c>
      <c r="G732" s="132">
        <f t="shared" si="93"/>
        <v>5530.3</v>
      </c>
      <c r="H732" s="132">
        <f t="shared" si="93"/>
        <v>5530</v>
      </c>
      <c r="I732" s="121">
        <v>0</v>
      </c>
      <c r="J732" s="121">
        <f t="shared" si="90"/>
        <v>99.99457533949332</v>
      </c>
    </row>
    <row r="733" spans="1:10" ht="24">
      <c r="A733" s="134" t="s">
        <v>753</v>
      </c>
      <c r="B733" s="124" t="s">
        <v>815</v>
      </c>
      <c r="C733" s="124" t="s">
        <v>1594</v>
      </c>
      <c r="D733" s="124" t="s">
        <v>1475</v>
      </c>
      <c r="E733" s="124" t="s">
        <v>1436</v>
      </c>
      <c r="F733" s="132">
        <f t="shared" si="93"/>
        <v>0</v>
      </c>
      <c r="G733" s="132">
        <f t="shared" si="93"/>
        <v>5530.3</v>
      </c>
      <c r="H733" s="132">
        <f t="shared" si="93"/>
        <v>5530</v>
      </c>
      <c r="I733" s="121">
        <v>0</v>
      </c>
      <c r="J733" s="121">
        <f t="shared" si="90"/>
        <v>99.99457533949332</v>
      </c>
    </row>
    <row r="734" spans="1:10" ht="36">
      <c r="A734" s="134" t="s">
        <v>1543</v>
      </c>
      <c r="B734" s="124" t="s">
        <v>815</v>
      </c>
      <c r="C734" s="124" t="s">
        <v>1594</v>
      </c>
      <c r="D734" s="124" t="s">
        <v>1475</v>
      </c>
      <c r="E734" s="124" t="s">
        <v>1436</v>
      </c>
      <c r="F734" s="135">
        <v>0</v>
      </c>
      <c r="G734" s="135">
        <v>5530.3</v>
      </c>
      <c r="H734" s="135">
        <v>5530</v>
      </c>
      <c r="I734" s="121">
        <v>0</v>
      </c>
      <c r="J734" s="121">
        <f t="shared" si="90"/>
        <v>99.99457533949332</v>
      </c>
    </row>
    <row r="735" spans="1:10" ht="36">
      <c r="A735" s="137" t="s">
        <v>1455</v>
      </c>
      <c r="B735" s="124" t="s">
        <v>815</v>
      </c>
      <c r="C735" s="124" t="s">
        <v>1594</v>
      </c>
      <c r="D735" s="124" t="s">
        <v>1241</v>
      </c>
      <c r="E735" s="124"/>
      <c r="F735" s="132">
        <f>F736</f>
        <v>0</v>
      </c>
      <c r="G735" s="132">
        <f>G736</f>
        <v>833</v>
      </c>
      <c r="H735" s="132">
        <f>H736</f>
        <v>833</v>
      </c>
      <c r="I735" s="121">
        <v>0</v>
      </c>
      <c r="J735" s="121">
        <f t="shared" si="90"/>
        <v>100</v>
      </c>
    </row>
    <row r="736" spans="1:10" ht="48">
      <c r="A736" s="14" t="s">
        <v>734</v>
      </c>
      <c r="B736" s="124" t="s">
        <v>815</v>
      </c>
      <c r="C736" s="124" t="s">
        <v>1594</v>
      </c>
      <c r="D736" s="124" t="s">
        <v>735</v>
      </c>
      <c r="E736" s="124"/>
      <c r="F736" s="132">
        <f aca="true" t="shared" si="94" ref="F736:H737">F737</f>
        <v>0</v>
      </c>
      <c r="G736" s="132">
        <f t="shared" si="94"/>
        <v>833</v>
      </c>
      <c r="H736" s="132">
        <f t="shared" si="94"/>
        <v>833</v>
      </c>
      <c r="I736" s="121">
        <v>0</v>
      </c>
      <c r="J736" s="121">
        <f t="shared" si="90"/>
        <v>100</v>
      </c>
    </row>
    <row r="737" spans="1:10" ht="36">
      <c r="A737" s="129" t="s">
        <v>752</v>
      </c>
      <c r="B737" s="124" t="s">
        <v>815</v>
      </c>
      <c r="C737" s="124" t="s">
        <v>1594</v>
      </c>
      <c r="D737" s="124" t="s">
        <v>736</v>
      </c>
      <c r="E737" s="124" t="s">
        <v>751</v>
      </c>
      <c r="F737" s="132">
        <f t="shared" si="94"/>
        <v>0</v>
      </c>
      <c r="G737" s="132">
        <f t="shared" si="94"/>
        <v>833</v>
      </c>
      <c r="H737" s="132">
        <f t="shared" si="94"/>
        <v>833</v>
      </c>
      <c r="I737" s="121">
        <v>0</v>
      </c>
      <c r="J737" s="121">
        <f t="shared" si="90"/>
        <v>100</v>
      </c>
    </row>
    <row r="738" spans="1:10" ht="24">
      <c r="A738" s="134" t="s">
        <v>753</v>
      </c>
      <c r="B738" s="124" t="s">
        <v>815</v>
      </c>
      <c r="C738" s="124" t="s">
        <v>1594</v>
      </c>
      <c r="D738" s="124" t="s">
        <v>736</v>
      </c>
      <c r="E738" s="124" t="s">
        <v>1436</v>
      </c>
      <c r="F738" s="132">
        <f>F739+F740</f>
        <v>0</v>
      </c>
      <c r="G738" s="132">
        <f>G739+G740</f>
        <v>833</v>
      </c>
      <c r="H738" s="132">
        <f>H739+H740</f>
        <v>833</v>
      </c>
      <c r="I738" s="121">
        <v>0</v>
      </c>
      <c r="J738" s="121">
        <f t="shared" si="90"/>
        <v>100</v>
      </c>
    </row>
    <row r="739" spans="1:10" ht="48">
      <c r="A739" s="134" t="s">
        <v>1480</v>
      </c>
      <c r="B739" s="124" t="s">
        <v>815</v>
      </c>
      <c r="C739" s="124" t="s">
        <v>1594</v>
      </c>
      <c r="D739" s="124" t="s">
        <v>736</v>
      </c>
      <c r="E739" s="124" t="s">
        <v>1436</v>
      </c>
      <c r="F739" s="135">
        <v>0</v>
      </c>
      <c r="G739" s="135">
        <v>533</v>
      </c>
      <c r="H739" s="135">
        <v>533</v>
      </c>
      <c r="I739" s="121">
        <v>0</v>
      </c>
      <c r="J739" s="121">
        <f t="shared" si="90"/>
        <v>100</v>
      </c>
    </row>
    <row r="740" spans="1:10" ht="48">
      <c r="A740" s="134" t="s">
        <v>1481</v>
      </c>
      <c r="B740" s="124" t="s">
        <v>815</v>
      </c>
      <c r="C740" s="124" t="s">
        <v>1594</v>
      </c>
      <c r="D740" s="124" t="s">
        <v>736</v>
      </c>
      <c r="E740" s="124" t="s">
        <v>1436</v>
      </c>
      <c r="F740" s="135">
        <v>0</v>
      </c>
      <c r="G740" s="135">
        <v>300</v>
      </c>
      <c r="H740" s="135">
        <v>300</v>
      </c>
      <c r="I740" s="121">
        <v>0</v>
      </c>
      <c r="J740" s="121">
        <f t="shared" si="90"/>
        <v>100</v>
      </c>
    </row>
    <row r="741" spans="1:10" ht="36">
      <c r="A741" s="130" t="s">
        <v>1052</v>
      </c>
      <c r="B741" s="124" t="s">
        <v>407</v>
      </c>
      <c r="C741" s="124" t="s">
        <v>1594</v>
      </c>
      <c r="D741" s="124" t="s">
        <v>1053</v>
      </c>
      <c r="E741" s="124"/>
      <c r="F741" s="132">
        <f aca="true" t="shared" si="95" ref="F741:H742">F742</f>
        <v>0</v>
      </c>
      <c r="G741" s="132">
        <f t="shared" si="95"/>
        <v>5000</v>
      </c>
      <c r="H741" s="132">
        <f t="shared" si="95"/>
        <v>4013.5</v>
      </c>
      <c r="I741" s="121">
        <v>0</v>
      </c>
      <c r="J741" s="121">
        <f t="shared" si="90"/>
        <v>80.27</v>
      </c>
    </row>
    <row r="742" spans="1:10" ht="36">
      <c r="A742" s="129" t="s">
        <v>752</v>
      </c>
      <c r="B742" s="124" t="s">
        <v>815</v>
      </c>
      <c r="C742" s="124" t="s">
        <v>1594</v>
      </c>
      <c r="D742" s="124" t="s">
        <v>1053</v>
      </c>
      <c r="E742" s="124" t="s">
        <v>751</v>
      </c>
      <c r="F742" s="132">
        <f t="shared" si="95"/>
        <v>0</v>
      </c>
      <c r="G742" s="132">
        <f t="shared" si="95"/>
        <v>5000</v>
      </c>
      <c r="H742" s="132">
        <f t="shared" si="95"/>
        <v>4013.5</v>
      </c>
      <c r="I742" s="121">
        <v>0</v>
      </c>
      <c r="J742" s="121">
        <f t="shared" si="90"/>
        <v>80.27</v>
      </c>
    </row>
    <row r="743" spans="1:10" ht="15.75">
      <c r="A743" s="134" t="s">
        <v>1212</v>
      </c>
      <c r="B743" s="124" t="s">
        <v>815</v>
      </c>
      <c r="C743" s="124" t="s">
        <v>1594</v>
      </c>
      <c r="D743" s="124" t="s">
        <v>1053</v>
      </c>
      <c r="E743" s="124" t="s">
        <v>1436</v>
      </c>
      <c r="F743" s="135">
        <v>0</v>
      </c>
      <c r="G743" s="135">
        <v>5000</v>
      </c>
      <c r="H743" s="135">
        <v>4013.5</v>
      </c>
      <c r="I743" s="121">
        <v>0</v>
      </c>
      <c r="J743" s="121">
        <f t="shared" si="90"/>
        <v>80.27</v>
      </c>
    </row>
    <row r="744" spans="1:10" ht="24">
      <c r="A744" s="133" t="s">
        <v>152</v>
      </c>
      <c r="B744" s="124" t="s">
        <v>815</v>
      </c>
      <c r="C744" s="124" t="s">
        <v>1064</v>
      </c>
      <c r="D744" s="124"/>
      <c r="E744" s="124"/>
      <c r="F744" s="132">
        <f>F745+F752+F757</f>
        <v>119233</v>
      </c>
      <c r="G744" s="132">
        <f>G745+G752+G757</f>
        <v>119087.40000000001</v>
      </c>
      <c r="H744" s="132">
        <f>H745+H752+H757</f>
        <v>116453.9</v>
      </c>
      <c r="I744" s="121">
        <f aca="true" t="shared" si="96" ref="I744:I783">H744/F744*100</f>
        <v>97.66918554427045</v>
      </c>
      <c r="J744" s="121">
        <f t="shared" si="90"/>
        <v>97.78859896177093</v>
      </c>
    </row>
    <row r="745" spans="1:10" ht="36">
      <c r="A745" s="160" t="s">
        <v>1451</v>
      </c>
      <c r="B745" s="124" t="s">
        <v>815</v>
      </c>
      <c r="C745" s="124" t="s">
        <v>1064</v>
      </c>
      <c r="D745" s="124" t="s">
        <v>14</v>
      </c>
      <c r="E745" s="124"/>
      <c r="F745" s="132">
        <f>F746</f>
        <v>557</v>
      </c>
      <c r="G745" s="132">
        <f>G746</f>
        <v>306.8</v>
      </c>
      <c r="H745" s="132">
        <f>H746</f>
        <v>304.2</v>
      </c>
      <c r="I745" s="121">
        <f t="shared" si="96"/>
        <v>54.614003590664275</v>
      </c>
      <c r="J745" s="121">
        <f t="shared" si="90"/>
        <v>99.15254237288134</v>
      </c>
    </row>
    <row r="746" spans="1:10" ht="24">
      <c r="A746" s="172" t="s">
        <v>1334</v>
      </c>
      <c r="B746" s="124" t="s">
        <v>815</v>
      </c>
      <c r="C746" s="124" t="s">
        <v>1064</v>
      </c>
      <c r="D746" s="124" t="s">
        <v>14</v>
      </c>
      <c r="E746" s="124"/>
      <c r="F746" s="132">
        <f>SUM(F747:F747)</f>
        <v>557</v>
      </c>
      <c r="G746" s="132">
        <f>SUM(G747:G747)</f>
        <v>306.8</v>
      </c>
      <c r="H746" s="132">
        <f>SUM(H747:H747)</f>
        <v>304.2</v>
      </c>
      <c r="I746" s="121">
        <f t="shared" si="96"/>
        <v>54.614003590664275</v>
      </c>
      <c r="J746" s="121">
        <f t="shared" si="90"/>
        <v>99.15254237288134</v>
      </c>
    </row>
    <row r="747" spans="1:10" ht="24">
      <c r="A747" s="134" t="s">
        <v>1335</v>
      </c>
      <c r="B747" s="124" t="s">
        <v>815</v>
      </c>
      <c r="C747" s="124" t="s">
        <v>1064</v>
      </c>
      <c r="D747" s="124" t="s">
        <v>524</v>
      </c>
      <c r="E747" s="124"/>
      <c r="F747" s="132">
        <f>F749+F750</f>
        <v>557</v>
      </c>
      <c r="G747" s="132">
        <f>G749+G750</f>
        <v>306.8</v>
      </c>
      <c r="H747" s="132">
        <f>H749+H750</f>
        <v>304.2</v>
      </c>
      <c r="I747" s="121">
        <f t="shared" si="96"/>
        <v>54.614003590664275</v>
      </c>
      <c r="J747" s="121">
        <f t="shared" si="90"/>
        <v>99.15254237288134</v>
      </c>
    </row>
    <row r="748" spans="1:10" ht="24">
      <c r="A748" s="130" t="s">
        <v>1312</v>
      </c>
      <c r="B748" s="124" t="s">
        <v>815</v>
      </c>
      <c r="C748" s="124" t="s">
        <v>1064</v>
      </c>
      <c r="D748" s="124" t="s">
        <v>524</v>
      </c>
      <c r="E748" s="124" t="s">
        <v>1704</v>
      </c>
      <c r="F748" s="132">
        <f>F749</f>
        <v>435</v>
      </c>
      <c r="G748" s="132">
        <f>G749</f>
        <v>235.3</v>
      </c>
      <c r="H748" s="132">
        <f>H749</f>
        <v>233.1</v>
      </c>
      <c r="I748" s="121">
        <f t="shared" si="96"/>
        <v>53.58620689655172</v>
      </c>
      <c r="J748" s="121">
        <f t="shared" si="90"/>
        <v>99.06502337441563</v>
      </c>
    </row>
    <row r="749" spans="1:10" ht="24">
      <c r="A749" s="130" t="s">
        <v>621</v>
      </c>
      <c r="B749" s="124" t="s">
        <v>815</v>
      </c>
      <c r="C749" s="124" t="s">
        <v>1064</v>
      </c>
      <c r="D749" s="124" t="s">
        <v>524</v>
      </c>
      <c r="E749" s="124" t="s">
        <v>1619</v>
      </c>
      <c r="F749" s="135">
        <f>435</f>
        <v>435</v>
      </c>
      <c r="G749" s="135">
        <f>435-200.7+1</f>
        <v>235.3</v>
      </c>
      <c r="H749" s="135">
        <v>233.1</v>
      </c>
      <c r="I749" s="121">
        <f t="shared" si="96"/>
        <v>53.58620689655172</v>
      </c>
      <c r="J749" s="121">
        <f t="shared" si="90"/>
        <v>99.06502337441563</v>
      </c>
    </row>
    <row r="750" spans="1:10" ht="15.75">
      <c r="A750" s="130" t="s">
        <v>910</v>
      </c>
      <c r="B750" s="124" t="s">
        <v>815</v>
      </c>
      <c r="C750" s="124" t="s">
        <v>1064</v>
      </c>
      <c r="D750" s="124" t="s">
        <v>524</v>
      </c>
      <c r="E750" s="124" t="s">
        <v>911</v>
      </c>
      <c r="F750" s="132">
        <f>F751</f>
        <v>122</v>
      </c>
      <c r="G750" s="132">
        <f>G751</f>
        <v>71.5</v>
      </c>
      <c r="H750" s="132">
        <f>H751</f>
        <v>71.1</v>
      </c>
      <c r="I750" s="121">
        <f t="shared" si="96"/>
        <v>58.27868852459016</v>
      </c>
      <c r="J750" s="121">
        <f t="shared" si="90"/>
        <v>99.44055944055943</v>
      </c>
    </row>
    <row r="751" spans="1:10" ht="15.75">
      <c r="A751" s="130" t="s">
        <v>589</v>
      </c>
      <c r="B751" s="124" t="s">
        <v>815</v>
      </c>
      <c r="C751" s="124" t="s">
        <v>1064</v>
      </c>
      <c r="D751" s="124" t="s">
        <v>524</v>
      </c>
      <c r="E751" s="124" t="s">
        <v>590</v>
      </c>
      <c r="F751" s="135">
        <f>122</f>
        <v>122</v>
      </c>
      <c r="G751" s="135">
        <f>122-63.4+10-0.1+3</f>
        <v>71.5</v>
      </c>
      <c r="H751" s="135">
        <v>71.1</v>
      </c>
      <c r="I751" s="121">
        <f t="shared" si="96"/>
        <v>58.27868852459016</v>
      </c>
      <c r="J751" s="121">
        <f t="shared" si="90"/>
        <v>99.44055944055943</v>
      </c>
    </row>
    <row r="752" spans="1:10" ht="48">
      <c r="A752" s="134" t="s">
        <v>531</v>
      </c>
      <c r="B752" s="124" t="s">
        <v>815</v>
      </c>
      <c r="C752" s="124" t="s">
        <v>1064</v>
      </c>
      <c r="D752" s="124" t="s">
        <v>1350</v>
      </c>
      <c r="E752" s="124"/>
      <c r="F752" s="132">
        <f aca="true" t="shared" si="97" ref="F752:H753">F753</f>
        <v>3150</v>
      </c>
      <c r="G752" s="132">
        <f t="shared" si="97"/>
        <v>120</v>
      </c>
      <c r="H752" s="132">
        <f t="shared" si="97"/>
        <v>118.5</v>
      </c>
      <c r="I752" s="121">
        <f t="shared" si="96"/>
        <v>3.7619047619047623</v>
      </c>
      <c r="J752" s="121">
        <f t="shared" si="90"/>
        <v>98.75</v>
      </c>
    </row>
    <row r="753" spans="1:10" ht="36">
      <c r="A753" s="129" t="s">
        <v>752</v>
      </c>
      <c r="B753" s="124" t="s">
        <v>815</v>
      </c>
      <c r="C753" s="124" t="s">
        <v>1064</v>
      </c>
      <c r="D753" s="124" t="s">
        <v>535</v>
      </c>
      <c r="E753" s="124" t="s">
        <v>751</v>
      </c>
      <c r="F753" s="132">
        <f t="shared" si="97"/>
        <v>3150</v>
      </c>
      <c r="G753" s="132">
        <f t="shared" si="97"/>
        <v>120</v>
      </c>
      <c r="H753" s="132">
        <f t="shared" si="97"/>
        <v>118.5</v>
      </c>
      <c r="I753" s="121">
        <f t="shared" si="96"/>
        <v>3.7619047619047623</v>
      </c>
      <c r="J753" s="121">
        <f t="shared" si="90"/>
        <v>98.75</v>
      </c>
    </row>
    <row r="754" spans="1:10" ht="24">
      <c r="A754" s="134" t="s">
        <v>753</v>
      </c>
      <c r="B754" s="124" t="s">
        <v>815</v>
      </c>
      <c r="C754" s="124" t="s">
        <v>1064</v>
      </c>
      <c r="D754" s="124" t="s">
        <v>535</v>
      </c>
      <c r="E754" s="124" t="s">
        <v>1436</v>
      </c>
      <c r="F754" s="135">
        <f>F755+F756</f>
        <v>3150</v>
      </c>
      <c r="G754" s="135">
        <f>G755+G756</f>
        <v>120</v>
      </c>
      <c r="H754" s="135">
        <f>H755+H756</f>
        <v>118.5</v>
      </c>
      <c r="I754" s="121">
        <f t="shared" si="96"/>
        <v>3.7619047619047623</v>
      </c>
      <c r="J754" s="121">
        <f t="shared" si="90"/>
        <v>98.75</v>
      </c>
    </row>
    <row r="755" spans="1:10" ht="36">
      <c r="A755" s="134" t="s">
        <v>51</v>
      </c>
      <c r="B755" s="124" t="s">
        <v>815</v>
      </c>
      <c r="C755" s="124" t="s">
        <v>1064</v>
      </c>
      <c r="D755" s="124" t="s">
        <v>535</v>
      </c>
      <c r="E755" s="124" t="s">
        <v>1436</v>
      </c>
      <c r="F755" s="135">
        <f>3150</f>
        <v>3150</v>
      </c>
      <c r="G755" s="135">
        <f>3150-3150</f>
        <v>0</v>
      </c>
      <c r="H755" s="135">
        <f>3150-3150</f>
        <v>0</v>
      </c>
      <c r="I755" s="121">
        <f t="shared" si="96"/>
        <v>0</v>
      </c>
      <c r="J755" s="121">
        <v>0</v>
      </c>
    </row>
    <row r="756" spans="1:10" ht="24">
      <c r="A756" s="134" t="s">
        <v>52</v>
      </c>
      <c r="B756" s="124" t="s">
        <v>815</v>
      </c>
      <c r="C756" s="124" t="s">
        <v>1064</v>
      </c>
      <c r="D756" s="124" t="s">
        <v>535</v>
      </c>
      <c r="E756" s="124" t="s">
        <v>1436</v>
      </c>
      <c r="F756" s="135">
        <v>0</v>
      </c>
      <c r="G756" s="135">
        <f>50+70</f>
        <v>120</v>
      </c>
      <c r="H756" s="135">
        <v>118.5</v>
      </c>
      <c r="I756" s="121">
        <v>0</v>
      </c>
      <c r="J756" s="121">
        <f t="shared" si="90"/>
        <v>98.75</v>
      </c>
    </row>
    <row r="757" spans="1:10" ht="60">
      <c r="A757" s="129" t="s">
        <v>147</v>
      </c>
      <c r="B757" s="124" t="s">
        <v>815</v>
      </c>
      <c r="C757" s="124" t="s">
        <v>1064</v>
      </c>
      <c r="D757" s="124" t="s">
        <v>1209</v>
      </c>
      <c r="E757" s="124"/>
      <c r="F757" s="132">
        <f>F758+F765</f>
        <v>115526</v>
      </c>
      <c r="G757" s="132">
        <f>G758+G765</f>
        <v>118660.6</v>
      </c>
      <c r="H757" s="132">
        <f>H758+H765</f>
        <v>116031.2</v>
      </c>
      <c r="I757" s="121">
        <f t="shared" si="96"/>
        <v>100.43730415664005</v>
      </c>
      <c r="J757" s="121">
        <f t="shared" si="90"/>
        <v>97.78410019838091</v>
      </c>
    </row>
    <row r="758" spans="1:10" ht="15.75">
      <c r="A758" s="134" t="s">
        <v>113</v>
      </c>
      <c r="B758" s="124" t="s">
        <v>815</v>
      </c>
      <c r="C758" s="124" t="s">
        <v>1064</v>
      </c>
      <c r="D758" s="124" t="s">
        <v>525</v>
      </c>
      <c r="E758" s="124"/>
      <c r="F758" s="132">
        <f>F760+F762+F763</f>
        <v>15892</v>
      </c>
      <c r="G758" s="132">
        <f>G760+G762+G763</f>
        <v>13925</v>
      </c>
      <c r="H758" s="132">
        <f>H760+H762+H763</f>
        <v>12770.4</v>
      </c>
      <c r="I758" s="121">
        <f t="shared" si="96"/>
        <v>80.35741253460861</v>
      </c>
      <c r="J758" s="121">
        <f t="shared" si="90"/>
        <v>91.70843806104129</v>
      </c>
    </row>
    <row r="759" spans="1:10" ht="72">
      <c r="A759" s="130" t="s">
        <v>1311</v>
      </c>
      <c r="B759" s="124" t="s">
        <v>815</v>
      </c>
      <c r="C759" s="124" t="s">
        <v>1064</v>
      </c>
      <c r="D759" s="124" t="s">
        <v>525</v>
      </c>
      <c r="E759" s="124" t="s">
        <v>1462</v>
      </c>
      <c r="F759" s="132">
        <f>F760</f>
        <v>14433</v>
      </c>
      <c r="G759" s="132">
        <f>G760</f>
        <v>12254</v>
      </c>
      <c r="H759" s="132">
        <f>H760</f>
        <v>11202</v>
      </c>
      <c r="I759" s="121">
        <f t="shared" si="96"/>
        <v>77.61380170442736</v>
      </c>
      <c r="J759" s="121">
        <f t="shared" si="90"/>
        <v>91.41504814754366</v>
      </c>
    </row>
    <row r="760" spans="1:10" ht="24">
      <c r="A760" s="130" t="s">
        <v>1039</v>
      </c>
      <c r="B760" s="124" t="s">
        <v>815</v>
      </c>
      <c r="C760" s="124" t="s">
        <v>1064</v>
      </c>
      <c r="D760" s="124" t="s">
        <v>525</v>
      </c>
      <c r="E760" s="124" t="s">
        <v>1432</v>
      </c>
      <c r="F760" s="135">
        <f>14433</f>
        <v>14433</v>
      </c>
      <c r="G760" s="135">
        <f>14433-35-90-98-3-1953</f>
        <v>12254</v>
      </c>
      <c r="H760" s="135">
        <v>11202</v>
      </c>
      <c r="I760" s="121">
        <f t="shared" si="96"/>
        <v>77.61380170442736</v>
      </c>
      <c r="J760" s="121">
        <f t="shared" si="90"/>
        <v>91.41504814754366</v>
      </c>
    </row>
    <row r="761" spans="1:10" ht="24">
      <c r="A761" s="130" t="s">
        <v>1312</v>
      </c>
      <c r="B761" s="124" t="s">
        <v>815</v>
      </c>
      <c r="C761" s="124" t="s">
        <v>1064</v>
      </c>
      <c r="D761" s="124" t="s">
        <v>525</v>
      </c>
      <c r="E761" s="124" t="s">
        <v>1704</v>
      </c>
      <c r="F761" s="132">
        <f>F762</f>
        <v>1430</v>
      </c>
      <c r="G761" s="132">
        <f>G762</f>
        <v>1617</v>
      </c>
      <c r="H761" s="132">
        <f>H762</f>
        <v>1517.6</v>
      </c>
      <c r="I761" s="121">
        <f t="shared" si="96"/>
        <v>106.1258741258741</v>
      </c>
      <c r="J761" s="121">
        <f t="shared" si="90"/>
        <v>93.85281385281384</v>
      </c>
    </row>
    <row r="762" spans="1:10" ht="24">
      <c r="A762" s="130" t="s">
        <v>621</v>
      </c>
      <c r="B762" s="124" t="s">
        <v>815</v>
      </c>
      <c r="C762" s="124" t="s">
        <v>1064</v>
      </c>
      <c r="D762" s="124" t="s">
        <v>525</v>
      </c>
      <c r="E762" s="124" t="s">
        <v>1619</v>
      </c>
      <c r="F762" s="135">
        <f>1430</f>
        <v>1430</v>
      </c>
      <c r="G762" s="135">
        <f>1430+90-1+98</f>
        <v>1617</v>
      </c>
      <c r="H762" s="135">
        <v>1517.6</v>
      </c>
      <c r="I762" s="121">
        <f t="shared" si="96"/>
        <v>106.1258741258741</v>
      </c>
      <c r="J762" s="121">
        <f t="shared" si="90"/>
        <v>93.85281385281384</v>
      </c>
    </row>
    <row r="763" spans="1:10" ht="15.75">
      <c r="A763" s="130" t="s">
        <v>910</v>
      </c>
      <c r="B763" s="124" t="s">
        <v>815</v>
      </c>
      <c r="C763" s="124" t="s">
        <v>1064</v>
      </c>
      <c r="D763" s="124" t="s">
        <v>525</v>
      </c>
      <c r="E763" s="124" t="s">
        <v>911</v>
      </c>
      <c r="F763" s="132">
        <f>F764</f>
        <v>29</v>
      </c>
      <c r="G763" s="132">
        <f>G764</f>
        <v>54</v>
      </c>
      <c r="H763" s="132">
        <f>H764</f>
        <v>50.8</v>
      </c>
      <c r="I763" s="121">
        <f t="shared" si="96"/>
        <v>175.17241379310343</v>
      </c>
      <c r="J763" s="121">
        <f t="shared" si="90"/>
        <v>94.07407407407406</v>
      </c>
    </row>
    <row r="764" spans="1:10" ht="15.75">
      <c r="A764" s="130" t="s">
        <v>589</v>
      </c>
      <c r="B764" s="124" t="s">
        <v>815</v>
      </c>
      <c r="C764" s="124" t="s">
        <v>1064</v>
      </c>
      <c r="D764" s="124" t="s">
        <v>525</v>
      </c>
      <c r="E764" s="124" t="s">
        <v>590</v>
      </c>
      <c r="F764" s="135">
        <f>29</f>
        <v>29</v>
      </c>
      <c r="G764" s="135">
        <f>29-10+35</f>
        <v>54</v>
      </c>
      <c r="H764" s="135">
        <v>50.8</v>
      </c>
      <c r="I764" s="121">
        <f t="shared" si="96"/>
        <v>175.17241379310343</v>
      </c>
      <c r="J764" s="121">
        <f t="shared" si="90"/>
        <v>94.07407407407406</v>
      </c>
    </row>
    <row r="765" spans="1:14" ht="60">
      <c r="A765" s="172" t="s">
        <v>1354</v>
      </c>
      <c r="B765" s="124" t="s">
        <v>815</v>
      </c>
      <c r="C765" s="124" t="s">
        <v>1064</v>
      </c>
      <c r="D765" s="124" t="s">
        <v>526</v>
      </c>
      <c r="E765" s="124"/>
      <c r="F765" s="132">
        <f aca="true" t="shared" si="98" ref="F765:H766">F766</f>
        <v>99634</v>
      </c>
      <c r="G765" s="132">
        <f t="shared" si="98"/>
        <v>104735.6</v>
      </c>
      <c r="H765" s="132">
        <f t="shared" si="98"/>
        <v>103260.8</v>
      </c>
      <c r="I765" s="121">
        <f t="shared" si="96"/>
        <v>103.64012284962965</v>
      </c>
      <c r="J765" s="121">
        <f t="shared" si="90"/>
        <v>98.59188279820805</v>
      </c>
      <c r="K765" s="45"/>
      <c r="L765" s="46"/>
      <c r="M765" s="45"/>
      <c r="N765" s="45"/>
    </row>
    <row r="766" spans="1:14" ht="36">
      <c r="A766" s="129" t="s">
        <v>752</v>
      </c>
      <c r="B766" s="124" t="s">
        <v>815</v>
      </c>
      <c r="C766" s="124" t="s">
        <v>1064</v>
      </c>
      <c r="D766" s="124" t="s">
        <v>526</v>
      </c>
      <c r="E766" s="124" t="s">
        <v>751</v>
      </c>
      <c r="F766" s="132">
        <f t="shared" si="98"/>
        <v>99634</v>
      </c>
      <c r="G766" s="132">
        <f t="shared" si="98"/>
        <v>104735.6</v>
      </c>
      <c r="H766" s="132">
        <f t="shared" si="98"/>
        <v>103260.8</v>
      </c>
      <c r="I766" s="121">
        <f t="shared" si="96"/>
        <v>103.64012284962965</v>
      </c>
      <c r="J766" s="121">
        <f t="shared" si="90"/>
        <v>98.59188279820805</v>
      </c>
      <c r="K766" s="45"/>
      <c r="L766" s="46"/>
      <c r="M766" s="45"/>
      <c r="N766" s="45"/>
    </row>
    <row r="767" spans="1:10" ht="15.75">
      <c r="A767" s="134" t="s">
        <v>1212</v>
      </c>
      <c r="B767" s="124" t="s">
        <v>815</v>
      </c>
      <c r="C767" s="124" t="s">
        <v>1064</v>
      </c>
      <c r="D767" s="124" t="s">
        <v>526</v>
      </c>
      <c r="E767" s="124" t="s">
        <v>1436</v>
      </c>
      <c r="F767" s="135">
        <f>99634</f>
        <v>99634</v>
      </c>
      <c r="G767" s="135">
        <f>99634+604+80-4740+7500+1600+57.6</f>
        <v>104735.6</v>
      </c>
      <c r="H767" s="135">
        <v>103260.8</v>
      </c>
      <c r="I767" s="121">
        <f t="shared" si="96"/>
        <v>103.64012284962965</v>
      </c>
      <c r="J767" s="121">
        <f t="shared" si="90"/>
        <v>98.59188279820805</v>
      </c>
    </row>
    <row r="768" spans="1:10" ht="15.75">
      <c r="A768" s="144" t="s">
        <v>1617</v>
      </c>
      <c r="B768" s="123" t="s">
        <v>1624</v>
      </c>
      <c r="C768" s="123"/>
      <c r="D768" s="123"/>
      <c r="E768" s="123"/>
      <c r="F768" s="145">
        <f>F769+F777+F935</f>
        <v>241320.59999999998</v>
      </c>
      <c r="G768" s="145">
        <f>G769+G777+G935</f>
        <v>273754</v>
      </c>
      <c r="H768" s="145">
        <f>H769+H777+H935</f>
        <v>249191.30000000002</v>
      </c>
      <c r="I768" s="121">
        <f t="shared" si="96"/>
        <v>103.26151186430003</v>
      </c>
      <c r="J768" s="121">
        <f t="shared" si="90"/>
        <v>91.02745530658913</v>
      </c>
    </row>
    <row r="769" spans="1:10" ht="15.75">
      <c r="A769" s="133" t="s">
        <v>1601</v>
      </c>
      <c r="B769" s="124" t="s">
        <v>1624</v>
      </c>
      <c r="C769" s="124" t="s">
        <v>1594</v>
      </c>
      <c r="D769" s="124"/>
      <c r="E769" s="124"/>
      <c r="F769" s="155">
        <f aca="true" t="shared" si="99" ref="F769:H771">F770</f>
        <v>9139</v>
      </c>
      <c r="G769" s="155">
        <f t="shared" si="99"/>
        <v>9139</v>
      </c>
      <c r="H769" s="155">
        <f t="shared" si="99"/>
        <v>8253.6</v>
      </c>
      <c r="I769" s="121">
        <f t="shared" si="96"/>
        <v>90.31185031185032</v>
      </c>
      <c r="J769" s="121">
        <f t="shared" si="90"/>
        <v>90.31185031185032</v>
      </c>
    </row>
    <row r="770" spans="1:10" ht="36">
      <c r="A770" s="141" t="s">
        <v>711</v>
      </c>
      <c r="B770" s="124" t="s">
        <v>1624</v>
      </c>
      <c r="C770" s="124" t="s">
        <v>1594</v>
      </c>
      <c r="D770" s="124" t="s">
        <v>1589</v>
      </c>
      <c r="E770" s="124"/>
      <c r="F770" s="132">
        <f t="shared" si="99"/>
        <v>9139</v>
      </c>
      <c r="G770" s="132">
        <f t="shared" si="99"/>
        <v>9139</v>
      </c>
      <c r="H770" s="132">
        <f t="shared" si="99"/>
        <v>8253.6</v>
      </c>
      <c r="I770" s="121">
        <f t="shared" si="96"/>
        <v>90.31185031185032</v>
      </c>
      <c r="J770" s="121">
        <f t="shared" si="90"/>
        <v>90.31185031185032</v>
      </c>
    </row>
    <row r="771" spans="1:10" ht="60">
      <c r="A771" s="129" t="s">
        <v>1391</v>
      </c>
      <c r="B771" s="124" t="s">
        <v>1624</v>
      </c>
      <c r="C771" s="124" t="s">
        <v>1594</v>
      </c>
      <c r="D771" s="124" t="s">
        <v>1342</v>
      </c>
      <c r="E771" s="124"/>
      <c r="F771" s="132">
        <f t="shared" si="99"/>
        <v>9139</v>
      </c>
      <c r="G771" s="132">
        <f t="shared" si="99"/>
        <v>9139</v>
      </c>
      <c r="H771" s="132">
        <f t="shared" si="99"/>
        <v>8253.6</v>
      </c>
      <c r="I771" s="121">
        <f t="shared" si="96"/>
        <v>90.31185031185032</v>
      </c>
      <c r="J771" s="121">
        <f t="shared" si="90"/>
        <v>90.31185031185032</v>
      </c>
    </row>
    <row r="772" spans="1:10" ht="24">
      <c r="A772" s="152" t="s">
        <v>837</v>
      </c>
      <c r="B772" s="124" t="s">
        <v>1624</v>
      </c>
      <c r="C772" s="124" t="s">
        <v>1594</v>
      </c>
      <c r="D772" s="124" t="s">
        <v>712</v>
      </c>
      <c r="E772" s="124"/>
      <c r="F772" s="132">
        <f>F773+F775</f>
        <v>9139</v>
      </c>
      <c r="G772" s="132">
        <f>G773+G775</f>
        <v>9139</v>
      </c>
      <c r="H772" s="132">
        <f>H773+H775</f>
        <v>8253.6</v>
      </c>
      <c r="I772" s="121">
        <f t="shared" si="96"/>
        <v>90.31185031185032</v>
      </c>
      <c r="J772" s="121">
        <f t="shared" si="90"/>
        <v>90.31185031185032</v>
      </c>
    </row>
    <row r="773" spans="1:10" ht="24">
      <c r="A773" s="134" t="s">
        <v>782</v>
      </c>
      <c r="B773" s="124" t="s">
        <v>1624</v>
      </c>
      <c r="C773" s="124" t="s">
        <v>1594</v>
      </c>
      <c r="D773" s="124" t="s">
        <v>712</v>
      </c>
      <c r="E773" s="124" t="s">
        <v>1704</v>
      </c>
      <c r="F773" s="132">
        <f>F774</f>
        <v>89</v>
      </c>
      <c r="G773" s="132">
        <f>G774</f>
        <v>89</v>
      </c>
      <c r="H773" s="132">
        <f>H774</f>
        <v>51</v>
      </c>
      <c r="I773" s="121">
        <f t="shared" si="96"/>
        <v>57.30337078651685</v>
      </c>
      <c r="J773" s="121">
        <f t="shared" si="90"/>
        <v>57.30337078651685</v>
      </c>
    </row>
    <row r="774" spans="1:10" ht="24">
      <c r="A774" s="130" t="s">
        <v>621</v>
      </c>
      <c r="B774" s="124" t="s">
        <v>1624</v>
      </c>
      <c r="C774" s="124" t="s">
        <v>1594</v>
      </c>
      <c r="D774" s="124" t="s">
        <v>712</v>
      </c>
      <c r="E774" s="124" t="s">
        <v>1619</v>
      </c>
      <c r="F774" s="135">
        <v>89</v>
      </c>
      <c r="G774" s="135">
        <v>89</v>
      </c>
      <c r="H774" s="135">
        <v>51</v>
      </c>
      <c r="I774" s="121">
        <f t="shared" si="96"/>
        <v>57.30337078651685</v>
      </c>
      <c r="J774" s="121">
        <f t="shared" si="90"/>
        <v>57.30337078651685</v>
      </c>
    </row>
    <row r="775" spans="1:10" ht="24">
      <c r="A775" s="130" t="s">
        <v>1705</v>
      </c>
      <c r="B775" s="124" t="s">
        <v>1624</v>
      </c>
      <c r="C775" s="124" t="s">
        <v>1594</v>
      </c>
      <c r="D775" s="124" t="s">
        <v>712</v>
      </c>
      <c r="E775" s="124" t="s">
        <v>1706</v>
      </c>
      <c r="F775" s="132">
        <f>F776</f>
        <v>9050</v>
      </c>
      <c r="G775" s="132">
        <f>G776</f>
        <v>9050</v>
      </c>
      <c r="H775" s="132">
        <f>H776</f>
        <v>8202.6</v>
      </c>
      <c r="I775" s="121">
        <f t="shared" si="96"/>
        <v>90.6364640883978</v>
      </c>
      <c r="J775" s="121">
        <f t="shared" si="90"/>
        <v>90.6364640883978</v>
      </c>
    </row>
    <row r="776" spans="1:10" ht="24">
      <c r="A776" s="129" t="s">
        <v>562</v>
      </c>
      <c r="B776" s="124" t="s">
        <v>1624</v>
      </c>
      <c r="C776" s="124" t="s">
        <v>1594</v>
      </c>
      <c r="D776" s="124" t="s">
        <v>712</v>
      </c>
      <c r="E776" s="124" t="s">
        <v>745</v>
      </c>
      <c r="F776" s="135">
        <f>8900+150</f>
        <v>9050</v>
      </c>
      <c r="G776" s="135">
        <f>8900+150</f>
        <v>9050</v>
      </c>
      <c r="H776" s="135">
        <v>8202.6</v>
      </c>
      <c r="I776" s="121">
        <f t="shared" si="96"/>
        <v>90.6364640883978</v>
      </c>
      <c r="J776" s="121">
        <f t="shared" si="90"/>
        <v>90.6364640883978</v>
      </c>
    </row>
    <row r="777" spans="1:10" ht="15.75">
      <c r="A777" s="133" t="s">
        <v>629</v>
      </c>
      <c r="B777" s="124" t="s">
        <v>1624</v>
      </c>
      <c r="C777" s="124" t="s">
        <v>1627</v>
      </c>
      <c r="D777" s="124"/>
      <c r="E777" s="124"/>
      <c r="F777" s="132">
        <f>F778+F783+F897</f>
        <v>99010.59999999999</v>
      </c>
      <c r="G777" s="132">
        <f>G778+G783+G897</f>
        <v>143492</v>
      </c>
      <c r="H777" s="132">
        <f>H778+H783+H897</f>
        <v>135391.30000000002</v>
      </c>
      <c r="I777" s="121">
        <f t="shared" si="96"/>
        <v>136.74424758561207</v>
      </c>
      <c r="J777" s="121">
        <f t="shared" si="90"/>
        <v>94.35459816575141</v>
      </c>
    </row>
    <row r="778" spans="1:10" ht="48.75" customHeight="1">
      <c r="A778" s="141" t="s">
        <v>802</v>
      </c>
      <c r="B778" s="124" t="s">
        <v>1624</v>
      </c>
      <c r="C778" s="124" t="s">
        <v>1627</v>
      </c>
      <c r="D778" s="124" t="s">
        <v>1717</v>
      </c>
      <c r="E778" s="124"/>
      <c r="F778" s="132">
        <f aca="true" t="shared" si="100" ref="F778:H781">F779</f>
        <v>3000</v>
      </c>
      <c r="G778" s="132">
        <f t="shared" si="100"/>
        <v>3355</v>
      </c>
      <c r="H778" s="132">
        <f t="shared" si="100"/>
        <v>3355</v>
      </c>
      <c r="I778" s="121">
        <f t="shared" si="96"/>
        <v>111.83333333333334</v>
      </c>
      <c r="J778" s="121">
        <f t="shared" si="90"/>
        <v>100</v>
      </c>
    </row>
    <row r="779" spans="1:10" ht="24">
      <c r="A779" s="151" t="s">
        <v>652</v>
      </c>
      <c r="B779" s="124" t="s">
        <v>1624</v>
      </c>
      <c r="C779" s="124" t="s">
        <v>1627</v>
      </c>
      <c r="D779" s="124" t="s">
        <v>591</v>
      </c>
      <c r="E779" s="124"/>
      <c r="F779" s="132">
        <f t="shared" si="100"/>
        <v>3000</v>
      </c>
      <c r="G779" s="132">
        <f t="shared" si="100"/>
        <v>3355</v>
      </c>
      <c r="H779" s="132">
        <f t="shared" si="100"/>
        <v>3355</v>
      </c>
      <c r="I779" s="121">
        <f t="shared" si="96"/>
        <v>111.83333333333334</v>
      </c>
      <c r="J779" s="121">
        <f t="shared" si="90"/>
        <v>100</v>
      </c>
    </row>
    <row r="780" spans="1:10" ht="72">
      <c r="A780" s="129" t="s">
        <v>29</v>
      </c>
      <c r="B780" s="124" t="s">
        <v>850</v>
      </c>
      <c r="C780" s="124" t="s">
        <v>1627</v>
      </c>
      <c r="D780" s="124" t="s">
        <v>653</v>
      </c>
      <c r="E780" s="124"/>
      <c r="F780" s="132">
        <f t="shared" si="100"/>
        <v>3000</v>
      </c>
      <c r="G780" s="132">
        <f t="shared" si="100"/>
        <v>3355</v>
      </c>
      <c r="H780" s="132">
        <f t="shared" si="100"/>
        <v>3355</v>
      </c>
      <c r="I780" s="121">
        <f t="shared" si="96"/>
        <v>111.83333333333334</v>
      </c>
      <c r="J780" s="121">
        <f t="shared" si="90"/>
        <v>100</v>
      </c>
    </row>
    <row r="781" spans="1:10" ht="24">
      <c r="A781" s="130" t="s">
        <v>1705</v>
      </c>
      <c r="B781" s="124" t="s">
        <v>850</v>
      </c>
      <c r="C781" s="124" t="s">
        <v>1627</v>
      </c>
      <c r="D781" s="124" t="s">
        <v>653</v>
      </c>
      <c r="E781" s="124" t="s">
        <v>1706</v>
      </c>
      <c r="F781" s="132">
        <f t="shared" si="100"/>
        <v>3000</v>
      </c>
      <c r="G781" s="132">
        <f t="shared" si="100"/>
        <v>3355</v>
      </c>
      <c r="H781" s="132">
        <f t="shared" si="100"/>
        <v>3355</v>
      </c>
      <c r="I781" s="121">
        <f t="shared" si="96"/>
        <v>111.83333333333334</v>
      </c>
      <c r="J781" s="121">
        <f t="shared" si="90"/>
        <v>100</v>
      </c>
    </row>
    <row r="782" spans="1:10" ht="24">
      <c r="A782" s="129" t="s">
        <v>977</v>
      </c>
      <c r="B782" s="124" t="s">
        <v>850</v>
      </c>
      <c r="C782" s="124" t="s">
        <v>1627</v>
      </c>
      <c r="D782" s="124" t="s">
        <v>653</v>
      </c>
      <c r="E782" s="124" t="s">
        <v>846</v>
      </c>
      <c r="F782" s="135">
        <f>3000</f>
        <v>3000</v>
      </c>
      <c r="G782" s="135">
        <v>3355</v>
      </c>
      <c r="H782" s="135">
        <v>3355</v>
      </c>
      <c r="I782" s="121">
        <f t="shared" si="96"/>
        <v>111.83333333333334</v>
      </c>
      <c r="J782" s="121">
        <f t="shared" si="90"/>
        <v>100</v>
      </c>
    </row>
    <row r="783" spans="1:10" ht="36">
      <c r="A783" s="141" t="s">
        <v>711</v>
      </c>
      <c r="B783" s="124" t="s">
        <v>1624</v>
      </c>
      <c r="C783" s="124" t="s">
        <v>1627</v>
      </c>
      <c r="D783" s="124" t="s">
        <v>1589</v>
      </c>
      <c r="E783" s="124"/>
      <c r="F783" s="132">
        <f>F784+F878+F882</f>
        <v>88824.4</v>
      </c>
      <c r="G783" s="132">
        <f>G784+G878+G882</f>
        <v>103217.9</v>
      </c>
      <c r="H783" s="132">
        <f>H784+H878+H882</f>
        <v>95986.40000000001</v>
      </c>
      <c r="I783" s="121">
        <f t="shared" si="96"/>
        <v>108.0630997788896</v>
      </c>
      <c r="J783" s="121">
        <f t="shared" si="90"/>
        <v>92.99394775518589</v>
      </c>
    </row>
    <row r="784" spans="1:10" ht="60">
      <c r="A784" s="129" t="s">
        <v>1391</v>
      </c>
      <c r="B784" s="124" t="s">
        <v>1624</v>
      </c>
      <c r="C784" s="124" t="s">
        <v>1627</v>
      </c>
      <c r="D784" s="124" t="s">
        <v>1342</v>
      </c>
      <c r="E784" s="124"/>
      <c r="F784" s="132">
        <f>F785+F791+F796+F799+F802+F807+F813+F818+F823+F828+F833+F838+F843+F848+F851+F856+F859+F864+F867+F873+F870</f>
        <v>43331.4</v>
      </c>
      <c r="G784" s="132">
        <f>G785+G791+G796+G799+G802+G807+G813+G818+G823+G828+G833+G838+G843+G848+G851+G856+G859+G864+G867+G873+G870</f>
        <v>62614.9</v>
      </c>
      <c r="H784" s="132">
        <f>H785+H791+H796+H799+H802+H807+H813+H818+H823+H828+H833+H838+H843+H848+H851+H856+H859+H864+H867+H873+H870</f>
        <v>58494.700000000004</v>
      </c>
      <c r="I784" s="121">
        <f aca="true" t="shared" si="101" ref="I784:I847">H784/F784*100</f>
        <v>134.99379203072138</v>
      </c>
      <c r="J784" s="121">
        <f aca="true" t="shared" si="102" ref="J784:J847">H784/G784*100</f>
        <v>93.41977708181281</v>
      </c>
    </row>
    <row r="785" spans="1:10" ht="168">
      <c r="A785" s="161" t="s">
        <v>1712</v>
      </c>
      <c r="B785" s="124" t="s">
        <v>1624</v>
      </c>
      <c r="C785" s="124" t="s">
        <v>1627</v>
      </c>
      <c r="D785" s="124" t="s">
        <v>713</v>
      </c>
      <c r="E785" s="124"/>
      <c r="F785" s="132">
        <f>F786+F788</f>
        <v>403</v>
      </c>
      <c r="G785" s="132">
        <f>G786+G788</f>
        <v>403</v>
      </c>
      <c r="H785" s="132">
        <f>H786+H788</f>
        <v>43.4</v>
      </c>
      <c r="I785" s="121">
        <f t="shared" si="101"/>
        <v>10.769230769230768</v>
      </c>
      <c r="J785" s="121">
        <f t="shared" si="102"/>
        <v>10.769230769230768</v>
      </c>
    </row>
    <row r="786" spans="1:10" ht="24">
      <c r="A786" s="134" t="s">
        <v>782</v>
      </c>
      <c r="B786" s="124" t="s">
        <v>1624</v>
      </c>
      <c r="C786" s="124" t="s">
        <v>1627</v>
      </c>
      <c r="D786" s="124" t="s">
        <v>713</v>
      </c>
      <c r="E786" s="124" t="s">
        <v>1704</v>
      </c>
      <c r="F786" s="132">
        <f>F787</f>
        <v>3</v>
      </c>
      <c r="G786" s="132">
        <f>G787</f>
        <v>3</v>
      </c>
      <c r="H786" s="132">
        <f>H787</f>
        <v>0.3</v>
      </c>
      <c r="I786" s="121">
        <f t="shared" si="101"/>
        <v>10</v>
      </c>
      <c r="J786" s="121">
        <f t="shared" si="102"/>
        <v>10</v>
      </c>
    </row>
    <row r="787" spans="1:10" ht="36">
      <c r="A787" s="134" t="s">
        <v>1718</v>
      </c>
      <c r="B787" s="124" t="s">
        <v>1624</v>
      </c>
      <c r="C787" s="124" t="s">
        <v>1627</v>
      </c>
      <c r="D787" s="124" t="s">
        <v>713</v>
      </c>
      <c r="E787" s="124" t="s">
        <v>1619</v>
      </c>
      <c r="F787" s="135">
        <v>3</v>
      </c>
      <c r="G787" s="135">
        <v>3</v>
      </c>
      <c r="H787" s="135">
        <v>0.3</v>
      </c>
      <c r="I787" s="121">
        <f t="shared" si="101"/>
        <v>10</v>
      </c>
      <c r="J787" s="121">
        <f t="shared" si="102"/>
        <v>10</v>
      </c>
    </row>
    <row r="788" spans="1:10" ht="24">
      <c r="A788" s="130" t="s">
        <v>1705</v>
      </c>
      <c r="B788" s="124" t="s">
        <v>1624</v>
      </c>
      <c r="C788" s="124" t="s">
        <v>1627</v>
      </c>
      <c r="D788" s="124" t="s">
        <v>713</v>
      </c>
      <c r="E788" s="124" t="s">
        <v>1706</v>
      </c>
      <c r="F788" s="132">
        <f>F789</f>
        <v>400</v>
      </c>
      <c r="G788" s="132">
        <f>G789</f>
        <v>400</v>
      </c>
      <c r="H788" s="132">
        <f>H789</f>
        <v>43.1</v>
      </c>
      <c r="I788" s="121">
        <f t="shared" si="101"/>
        <v>10.775</v>
      </c>
      <c r="J788" s="121">
        <f t="shared" si="102"/>
        <v>10.775</v>
      </c>
    </row>
    <row r="789" spans="1:10" ht="24">
      <c r="A789" s="129" t="s">
        <v>562</v>
      </c>
      <c r="B789" s="124" t="s">
        <v>1624</v>
      </c>
      <c r="C789" s="124" t="s">
        <v>1627</v>
      </c>
      <c r="D789" s="124" t="s">
        <v>713</v>
      </c>
      <c r="E789" s="124" t="s">
        <v>1706</v>
      </c>
      <c r="F789" s="154">
        <v>400</v>
      </c>
      <c r="G789" s="154">
        <v>400</v>
      </c>
      <c r="H789" s="154">
        <f>H790</f>
        <v>43.1</v>
      </c>
      <c r="I789" s="121">
        <f t="shared" si="101"/>
        <v>10.775</v>
      </c>
      <c r="J789" s="121">
        <f t="shared" si="102"/>
        <v>10.775</v>
      </c>
    </row>
    <row r="790" spans="1:10" ht="36">
      <c r="A790" s="134" t="s">
        <v>1519</v>
      </c>
      <c r="B790" s="124" t="s">
        <v>1624</v>
      </c>
      <c r="C790" s="124" t="s">
        <v>1627</v>
      </c>
      <c r="D790" s="124" t="s">
        <v>713</v>
      </c>
      <c r="E790" s="124" t="s">
        <v>745</v>
      </c>
      <c r="F790" s="135">
        <v>400</v>
      </c>
      <c r="G790" s="135">
        <v>400</v>
      </c>
      <c r="H790" s="135">
        <v>43.1</v>
      </c>
      <c r="I790" s="121">
        <f t="shared" si="101"/>
        <v>10.775</v>
      </c>
      <c r="J790" s="121">
        <f t="shared" si="102"/>
        <v>10.775</v>
      </c>
    </row>
    <row r="791" spans="1:10" ht="48">
      <c r="A791" s="129" t="s">
        <v>1719</v>
      </c>
      <c r="B791" s="124" t="s">
        <v>1624</v>
      </c>
      <c r="C791" s="124" t="s">
        <v>1627</v>
      </c>
      <c r="D791" s="124" t="s">
        <v>714</v>
      </c>
      <c r="E791" s="124"/>
      <c r="F791" s="132">
        <f>F792+F794</f>
        <v>321.7</v>
      </c>
      <c r="G791" s="132">
        <f>G792+G794</f>
        <v>321.7</v>
      </c>
      <c r="H791" s="132">
        <f>H792+H794</f>
        <v>151.4</v>
      </c>
      <c r="I791" s="121">
        <f t="shared" si="101"/>
        <v>47.06248057196146</v>
      </c>
      <c r="J791" s="121">
        <f t="shared" si="102"/>
        <v>47.06248057196146</v>
      </c>
    </row>
    <row r="792" spans="1:10" ht="24">
      <c r="A792" s="134" t="s">
        <v>782</v>
      </c>
      <c r="B792" s="124" t="s">
        <v>1624</v>
      </c>
      <c r="C792" s="124" t="s">
        <v>1627</v>
      </c>
      <c r="D792" s="124" t="s">
        <v>714</v>
      </c>
      <c r="E792" s="124" t="s">
        <v>1704</v>
      </c>
      <c r="F792" s="132">
        <f>F793</f>
        <v>2.4</v>
      </c>
      <c r="G792" s="132">
        <f>G793</f>
        <v>2.4</v>
      </c>
      <c r="H792" s="132">
        <f>H793</f>
        <v>1.1</v>
      </c>
      <c r="I792" s="121">
        <f t="shared" si="101"/>
        <v>45.833333333333336</v>
      </c>
      <c r="J792" s="121">
        <f t="shared" si="102"/>
        <v>45.833333333333336</v>
      </c>
    </row>
    <row r="793" spans="1:10" ht="36">
      <c r="A793" s="134" t="s">
        <v>1718</v>
      </c>
      <c r="B793" s="124" t="s">
        <v>1624</v>
      </c>
      <c r="C793" s="124" t="s">
        <v>1627</v>
      </c>
      <c r="D793" s="124" t="s">
        <v>714</v>
      </c>
      <c r="E793" s="124" t="s">
        <v>1619</v>
      </c>
      <c r="F793" s="135">
        <v>2.4</v>
      </c>
      <c r="G793" s="135">
        <v>2.4</v>
      </c>
      <c r="H793" s="135">
        <v>1.1</v>
      </c>
      <c r="I793" s="121">
        <f t="shared" si="101"/>
        <v>45.833333333333336</v>
      </c>
      <c r="J793" s="121">
        <f t="shared" si="102"/>
        <v>45.833333333333336</v>
      </c>
    </row>
    <row r="794" spans="1:10" ht="24">
      <c r="A794" s="173" t="s">
        <v>1705</v>
      </c>
      <c r="B794" s="124" t="s">
        <v>1624</v>
      </c>
      <c r="C794" s="124" t="s">
        <v>1627</v>
      </c>
      <c r="D794" s="124" t="s">
        <v>714</v>
      </c>
      <c r="E794" s="124" t="s">
        <v>1706</v>
      </c>
      <c r="F794" s="132">
        <f>F795</f>
        <v>319.3</v>
      </c>
      <c r="G794" s="132">
        <f>G795</f>
        <v>319.3</v>
      </c>
      <c r="H794" s="132">
        <f>H795</f>
        <v>150.3</v>
      </c>
      <c r="I794" s="121">
        <f t="shared" si="101"/>
        <v>47.07171938615722</v>
      </c>
      <c r="J794" s="121">
        <f t="shared" si="102"/>
        <v>47.07171938615722</v>
      </c>
    </row>
    <row r="795" spans="1:10" ht="24">
      <c r="A795" s="129" t="s">
        <v>562</v>
      </c>
      <c r="B795" s="124" t="s">
        <v>1624</v>
      </c>
      <c r="C795" s="124" t="s">
        <v>1627</v>
      </c>
      <c r="D795" s="124" t="s">
        <v>714</v>
      </c>
      <c r="E795" s="124" t="s">
        <v>745</v>
      </c>
      <c r="F795" s="135">
        <v>319.3</v>
      </c>
      <c r="G795" s="135">
        <v>319.3</v>
      </c>
      <c r="H795" s="135">
        <v>150.3</v>
      </c>
      <c r="I795" s="121">
        <f t="shared" si="101"/>
        <v>47.07171938615722</v>
      </c>
      <c r="J795" s="121">
        <f t="shared" si="102"/>
        <v>47.07171938615722</v>
      </c>
    </row>
    <row r="796" spans="1:10" ht="120">
      <c r="A796" s="134" t="s">
        <v>615</v>
      </c>
      <c r="B796" s="124" t="s">
        <v>1624</v>
      </c>
      <c r="C796" s="124" t="s">
        <v>1627</v>
      </c>
      <c r="D796" s="124" t="s">
        <v>715</v>
      </c>
      <c r="E796" s="124"/>
      <c r="F796" s="132">
        <f aca="true" t="shared" si="103" ref="F796:H797">F797</f>
        <v>962</v>
      </c>
      <c r="G796" s="132">
        <f t="shared" si="103"/>
        <v>962</v>
      </c>
      <c r="H796" s="132">
        <f t="shared" si="103"/>
        <v>962</v>
      </c>
      <c r="I796" s="121">
        <f t="shared" si="101"/>
        <v>100</v>
      </c>
      <c r="J796" s="121">
        <f t="shared" si="102"/>
        <v>100</v>
      </c>
    </row>
    <row r="797" spans="1:10" ht="24">
      <c r="A797" s="130" t="s">
        <v>1705</v>
      </c>
      <c r="B797" s="124" t="s">
        <v>1624</v>
      </c>
      <c r="C797" s="124" t="s">
        <v>1627</v>
      </c>
      <c r="D797" s="124" t="s">
        <v>715</v>
      </c>
      <c r="E797" s="124" t="s">
        <v>1706</v>
      </c>
      <c r="F797" s="132">
        <f t="shared" si="103"/>
        <v>962</v>
      </c>
      <c r="G797" s="132">
        <f t="shared" si="103"/>
        <v>962</v>
      </c>
      <c r="H797" s="132">
        <f t="shared" si="103"/>
        <v>962</v>
      </c>
      <c r="I797" s="121">
        <f t="shared" si="101"/>
        <v>100</v>
      </c>
      <c r="J797" s="121">
        <f t="shared" si="102"/>
        <v>100</v>
      </c>
    </row>
    <row r="798" spans="1:10" ht="24">
      <c r="A798" s="129" t="s">
        <v>562</v>
      </c>
      <c r="B798" s="124" t="s">
        <v>1624</v>
      </c>
      <c r="C798" s="124" t="s">
        <v>1627</v>
      </c>
      <c r="D798" s="124" t="s">
        <v>715</v>
      </c>
      <c r="E798" s="124" t="s">
        <v>745</v>
      </c>
      <c r="F798" s="135">
        <v>962</v>
      </c>
      <c r="G798" s="135">
        <v>962</v>
      </c>
      <c r="H798" s="135">
        <v>962</v>
      </c>
      <c r="I798" s="121">
        <f t="shared" si="101"/>
        <v>100</v>
      </c>
      <c r="J798" s="121">
        <f t="shared" si="102"/>
        <v>100</v>
      </c>
    </row>
    <row r="799" spans="1:10" ht="48">
      <c r="A799" s="134" t="s">
        <v>964</v>
      </c>
      <c r="B799" s="124" t="s">
        <v>1624</v>
      </c>
      <c r="C799" s="124" t="s">
        <v>1627</v>
      </c>
      <c r="D799" s="124" t="s">
        <v>716</v>
      </c>
      <c r="E799" s="124"/>
      <c r="F799" s="132">
        <f aca="true" t="shared" si="104" ref="F799:H800">F800</f>
        <v>420</v>
      </c>
      <c r="G799" s="132">
        <f t="shared" si="104"/>
        <v>420</v>
      </c>
      <c r="H799" s="132">
        <f t="shared" si="104"/>
        <v>420</v>
      </c>
      <c r="I799" s="121">
        <f t="shared" si="101"/>
        <v>100</v>
      </c>
      <c r="J799" s="121">
        <f t="shared" si="102"/>
        <v>100</v>
      </c>
    </row>
    <row r="800" spans="1:10" ht="24">
      <c r="A800" s="130" t="s">
        <v>1705</v>
      </c>
      <c r="B800" s="124" t="s">
        <v>1624</v>
      </c>
      <c r="C800" s="124" t="s">
        <v>1627</v>
      </c>
      <c r="D800" s="124" t="s">
        <v>716</v>
      </c>
      <c r="E800" s="124" t="s">
        <v>1706</v>
      </c>
      <c r="F800" s="132">
        <f t="shared" si="104"/>
        <v>420</v>
      </c>
      <c r="G800" s="132">
        <f t="shared" si="104"/>
        <v>420</v>
      </c>
      <c r="H800" s="132">
        <f t="shared" si="104"/>
        <v>420</v>
      </c>
      <c r="I800" s="121">
        <f t="shared" si="101"/>
        <v>100</v>
      </c>
      <c r="J800" s="121">
        <f t="shared" si="102"/>
        <v>100</v>
      </c>
    </row>
    <row r="801" spans="1:10" ht="24">
      <c r="A801" s="129" t="s">
        <v>562</v>
      </c>
      <c r="B801" s="124" t="s">
        <v>1624</v>
      </c>
      <c r="C801" s="124" t="s">
        <v>1627</v>
      </c>
      <c r="D801" s="124" t="s">
        <v>716</v>
      </c>
      <c r="E801" s="124" t="s">
        <v>745</v>
      </c>
      <c r="F801" s="135">
        <f>300+120</f>
        <v>420</v>
      </c>
      <c r="G801" s="135">
        <f>300+120</f>
        <v>420</v>
      </c>
      <c r="H801" s="135">
        <f>300+120</f>
        <v>420</v>
      </c>
      <c r="I801" s="121">
        <f t="shared" si="101"/>
        <v>100</v>
      </c>
      <c r="J801" s="121">
        <f t="shared" si="102"/>
        <v>100</v>
      </c>
    </row>
    <row r="802" spans="1:10" ht="36">
      <c r="A802" s="134" t="s">
        <v>1347</v>
      </c>
      <c r="B802" s="124" t="s">
        <v>1624</v>
      </c>
      <c r="C802" s="124" t="s">
        <v>1627</v>
      </c>
      <c r="D802" s="124" t="s">
        <v>717</v>
      </c>
      <c r="E802" s="124"/>
      <c r="F802" s="132">
        <f>F803+F805</f>
        <v>363.1</v>
      </c>
      <c r="G802" s="132">
        <f>G803+G805</f>
        <v>363.1</v>
      </c>
      <c r="H802" s="132">
        <f>H803+H805</f>
        <v>324.7</v>
      </c>
      <c r="I802" s="121">
        <f t="shared" si="101"/>
        <v>89.42440099146239</v>
      </c>
      <c r="J802" s="121">
        <f t="shared" si="102"/>
        <v>89.42440099146239</v>
      </c>
    </row>
    <row r="803" spans="1:10" ht="24">
      <c r="A803" s="134" t="s">
        <v>782</v>
      </c>
      <c r="B803" s="124" t="s">
        <v>1624</v>
      </c>
      <c r="C803" s="124" t="s">
        <v>1627</v>
      </c>
      <c r="D803" s="124" t="s">
        <v>717</v>
      </c>
      <c r="E803" s="124" t="s">
        <v>1704</v>
      </c>
      <c r="F803" s="132">
        <f>F804</f>
        <v>10.6</v>
      </c>
      <c r="G803" s="132">
        <f>G804</f>
        <v>10.6</v>
      </c>
      <c r="H803" s="132">
        <f>H804</f>
        <v>0.7</v>
      </c>
      <c r="I803" s="121">
        <f t="shared" si="101"/>
        <v>6.60377358490566</v>
      </c>
      <c r="J803" s="121">
        <f t="shared" si="102"/>
        <v>6.60377358490566</v>
      </c>
    </row>
    <row r="804" spans="1:10" ht="36">
      <c r="A804" s="134" t="s">
        <v>1718</v>
      </c>
      <c r="B804" s="124" t="s">
        <v>1624</v>
      </c>
      <c r="C804" s="124" t="s">
        <v>1627</v>
      </c>
      <c r="D804" s="124" t="s">
        <v>717</v>
      </c>
      <c r="E804" s="124" t="s">
        <v>1619</v>
      </c>
      <c r="F804" s="135">
        <v>10.6</v>
      </c>
      <c r="G804" s="135">
        <v>10.6</v>
      </c>
      <c r="H804" s="135">
        <v>0.7</v>
      </c>
      <c r="I804" s="121">
        <f t="shared" si="101"/>
        <v>6.60377358490566</v>
      </c>
      <c r="J804" s="121">
        <f t="shared" si="102"/>
        <v>6.60377358490566</v>
      </c>
    </row>
    <row r="805" spans="1:10" ht="24">
      <c r="A805" s="130" t="s">
        <v>1705</v>
      </c>
      <c r="B805" s="124" t="s">
        <v>1624</v>
      </c>
      <c r="C805" s="124" t="s">
        <v>1627</v>
      </c>
      <c r="D805" s="124" t="s">
        <v>717</v>
      </c>
      <c r="E805" s="124" t="s">
        <v>1706</v>
      </c>
      <c r="F805" s="132">
        <f>F806</f>
        <v>352.5</v>
      </c>
      <c r="G805" s="132">
        <f>G806</f>
        <v>352.5</v>
      </c>
      <c r="H805" s="132">
        <f>H806</f>
        <v>324</v>
      </c>
      <c r="I805" s="121">
        <f t="shared" si="101"/>
        <v>91.91489361702128</v>
      </c>
      <c r="J805" s="121">
        <f t="shared" si="102"/>
        <v>91.91489361702128</v>
      </c>
    </row>
    <row r="806" spans="1:10" ht="24">
      <c r="A806" s="129" t="s">
        <v>562</v>
      </c>
      <c r="B806" s="124" t="s">
        <v>1624</v>
      </c>
      <c r="C806" s="124" t="s">
        <v>1627</v>
      </c>
      <c r="D806" s="124" t="s">
        <v>717</v>
      </c>
      <c r="E806" s="124" t="s">
        <v>745</v>
      </c>
      <c r="F806" s="135">
        <f>363.1-10.6</f>
        <v>352.5</v>
      </c>
      <c r="G806" s="135">
        <f>363.1-10.6</f>
        <v>352.5</v>
      </c>
      <c r="H806" s="135">
        <v>324</v>
      </c>
      <c r="I806" s="121">
        <f t="shared" si="101"/>
        <v>91.91489361702128</v>
      </c>
      <c r="J806" s="121">
        <f t="shared" si="102"/>
        <v>91.91489361702128</v>
      </c>
    </row>
    <row r="807" spans="1:10" ht="36">
      <c r="A807" s="134" t="s">
        <v>1348</v>
      </c>
      <c r="B807" s="124" t="s">
        <v>1624</v>
      </c>
      <c r="C807" s="124" t="s">
        <v>1627</v>
      </c>
      <c r="D807" s="124" t="s">
        <v>718</v>
      </c>
      <c r="E807" s="124"/>
      <c r="F807" s="132">
        <f>F808+F810</f>
        <v>183.9</v>
      </c>
      <c r="G807" s="132">
        <f>G808+G810</f>
        <v>183.9</v>
      </c>
      <c r="H807" s="132">
        <f>H808+H810</f>
        <v>160.1</v>
      </c>
      <c r="I807" s="121">
        <f t="shared" si="101"/>
        <v>87.05818379554104</v>
      </c>
      <c r="J807" s="121">
        <f t="shared" si="102"/>
        <v>87.05818379554104</v>
      </c>
    </row>
    <row r="808" spans="1:10" ht="24">
      <c r="A808" s="134" t="s">
        <v>782</v>
      </c>
      <c r="B808" s="124" t="s">
        <v>1624</v>
      </c>
      <c r="C808" s="124" t="s">
        <v>1627</v>
      </c>
      <c r="D808" s="124" t="s">
        <v>718</v>
      </c>
      <c r="E808" s="124" t="s">
        <v>1704</v>
      </c>
      <c r="F808" s="132">
        <f>F809</f>
        <v>5.4</v>
      </c>
      <c r="G808" s="132">
        <f>G809</f>
        <v>5.4</v>
      </c>
      <c r="H808" s="132">
        <f>H809</f>
        <v>2.6</v>
      </c>
      <c r="I808" s="121">
        <f t="shared" si="101"/>
        <v>48.148148148148145</v>
      </c>
      <c r="J808" s="121">
        <f t="shared" si="102"/>
        <v>48.148148148148145</v>
      </c>
    </row>
    <row r="809" spans="1:10" ht="36">
      <c r="A809" s="134" t="s">
        <v>1718</v>
      </c>
      <c r="B809" s="124" t="s">
        <v>1624</v>
      </c>
      <c r="C809" s="124" t="s">
        <v>1627</v>
      </c>
      <c r="D809" s="124" t="s">
        <v>718</v>
      </c>
      <c r="E809" s="124" t="s">
        <v>1619</v>
      </c>
      <c r="F809" s="135">
        <v>5.4</v>
      </c>
      <c r="G809" s="135">
        <v>5.4</v>
      </c>
      <c r="H809" s="135">
        <v>2.6</v>
      </c>
      <c r="I809" s="121">
        <f t="shared" si="101"/>
        <v>48.148148148148145</v>
      </c>
      <c r="J809" s="121">
        <f t="shared" si="102"/>
        <v>48.148148148148145</v>
      </c>
    </row>
    <row r="810" spans="1:10" ht="24">
      <c r="A810" s="130" t="s">
        <v>1705</v>
      </c>
      <c r="B810" s="124" t="s">
        <v>1624</v>
      </c>
      <c r="C810" s="124" t="s">
        <v>1627</v>
      </c>
      <c r="D810" s="124" t="s">
        <v>718</v>
      </c>
      <c r="E810" s="124" t="s">
        <v>1706</v>
      </c>
      <c r="F810" s="132">
        <f>F811</f>
        <v>178.5</v>
      </c>
      <c r="G810" s="132">
        <f>G811</f>
        <v>178.5</v>
      </c>
      <c r="H810" s="132">
        <f>H811</f>
        <v>157.5</v>
      </c>
      <c r="I810" s="121">
        <f t="shared" si="101"/>
        <v>88.23529411764706</v>
      </c>
      <c r="J810" s="121">
        <f t="shared" si="102"/>
        <v>88.23529411764706</v>
      </c>
    </row>
    <row r="811" spans="1:10" ht="24">
      <c r="A811" s="129" t="s">
        <v>562</v>
      </c>
      <c r="B811" s="124" t="s">
        <v>1624</v>
      </c>
      <c r="C811" s="124" t="s">
        <v>1627</v>
      </c>
      <c r="D811" s="124" t="s">
        <v>718</v>
      </c>
      <c r="E811" s="124" t="s">
        <v>745</v>
      </c>
      <c r="F811" s="135">
        <f>183.9-5.4</f>
        <v>178.5</v>
      </c>
      <c r="G811" s="135">
        <f>183.9-5.4</f>
        <v>178.5</v>
      </c>
      <c r="H811" s="135">
        <f>H812</f>
        <v>157.5</v>
      </c>
      <c r="I811" s="121">
        <f t="shared" si="101"/>
        <v>88.23529411764706</v>
      </c>
      <c r="J811" s="121">
        <f t="shared" si="102"/>
        <v>88.23529411764706</v>
      </c>
    </row>
    <row r="812" spans="1:10" ht="36">
      <c r="A812" s="134" t="s">
        <v>1519</v>
      </c>
      <c r="B812" s="124" t="s">
        <v>1624</v>
      </c>
      <c r="C812" s="124" t="s">
        <v>1627</v>
      </c>
      <c r="D812" s="124" t="s">
        <v>718</v>
      </c>
      <c r="E812" s="124" t="s">
        <v>745</v>
      </c>
      <c r="F812" s="135">
        <v>178.5</v>
      </c>
      <c r="G812" s="135">
        <v>178.5</v>
      </c>
      <c r="H812" s="135">
        <v>157.5</v>
      </c>
      <c r="I812" s="121">
        <f t="shared" si="101"/>
        <v>88.23529411764706</v>
      </c>
      <c r="J812" s="121">
        <f t="shared" si="102"/>
        <v>88.23529411764706</v>
      </c>
    </row>
    <row r="813" spans="1:10" ht="36">
      <c r="A813" s="134" t="s">
        <v>576</v>
      </c>
      <c r="B813" s="124" t="s">
        <v>1624</v>
      </c>
      <c r="C813" s="124" t="s">
        <v>1627</v>
      </c>
      <c r="D813" s="124" t="s">
        <v>719</v>
      </c>
      <c r="E813" s="124"/>
      <c r="F813" s="132">
        <f>F814+F816</f>
        <v>344.5</v>
      </c>
      <c r="G813" s="132">
        <f>G814+G816</f>
        <v>344.5</v>
      </c>
      <c r="H813" s="132">
        <f>H814+H816</f>
        <v>301</v>
      </c>
      <c r="I813" s="121">
        <f t="shared" si="101"/>
        <v>87.37300435413643</v>
      </c>
      <c r="J813" s="121">
        <f t="shared" si="102"/>
        <v>87.37300435413643</v>
      </c>
    </row>
    <row r="814" spans="1:10" ht="24">
      <c r="A814" s="134" t="s">
        <v>782</v>
      </c>
      <c r="B814" s="124" t="s">
        <v>1624</v>
      </c>
      <c r="C814" s="124" t="s">
        <v>1627</v>
      </c>
      <c r="D814" s="124" t="s">
        <v>719</v>
      </c>
      <c r="E814" s="124" t="s">
        <v>1704</v>
      </c>
      <c r="F814" s="132">
        <f>F815</f>
        <v>10</v>
      </c>
      <c r="G814" s="132">
        <f>G815</f>
        <v>10</v>
      </c>
      <c r="H814" s="132">
        <f>H815</f>
        <v>1</v>
      </c>
      <c r="I814" s="121">
        <f t="shared" si="101"/>
        <v>10</v>
      </c>
      <c r="J814" s="121">
        <f t="shared" si="102"/>
        <v>10</v>
      </c>
    </row>
    <row r="815" spans="1:10" ht="36">
      <c r="A815" s="134" t="s">
        <v>1718</v>
      </c>
      <c r="B815" s="124" t="s">
        <v>1624</v>
      </c>
      <c r="C815" s="124" t="s">
        <v>1627</v>
      </c>
      <c r="D815" s="124" t="s">
        <v>719</v>
      </c>
      <c r="E815" s="124" t="s">
        <v>1619</v>
      </c>
      <c r="F815" s="135">
        <v>10</v>
      </c>
      <c r="G815" s="135">
        <v>10</v>
      </c>
      <c r="H815" s="135">
        <v>1</v>
      </c>
      <c r="I815" s="121">
        <f t="shared" si="101"/>
        <v>10</v>
      </c>
      <c r="J815" s="121">
        <f t="shared" si="102"/>
        <v>10</v>
      </c>
    </row>
    <row r="816" spans="1:10" ht="24">
      <c r="A816" s="130" t="s">
        <v>1705</v>
      </c>
      <c r="B816" s="124" t="s">
        <v>1624</v>
      </c>
      <c r="C816" s="124" t="s">
        <v>1627</v>
      </c>
      <c r="D816" s="124" t="s">
        <v>719</v>
      </c>
      <c r="E816" s="124" t="s">
        <v>1706</v>
      </c>
      <c r="F816" s="132">
        <f>F817</f>
        <v>334.5</v>
      </c>
      <c r="G816" s="132">
        <f>G817</f>
        <v>334.5</v>
      </c>
      <c r="H816" s="132">
        <f>H817</f>
        <v>300</v>
      </c>
      <c r="I816" s="121">
        <f t="shared" si="101"/>
        <v>89.68609865470853</v>
      </c>
      <c r="J816" s="121">
        <f t="shared" si="102"/>
        <v>89.68609865470853</v>
      </c>
    </row>
    <row r="817" spans="1:10" ht="24">
      <c r="A817" s="129" t="s">
        <v>562</v>
      </c>
      <c r="B817" s="124" t="s">
        <v>1624</v>
      </c>
      <c r="C817" s="124" t="s">
        <v>1627</v>
      </c>
      <c r="D817" s="124" t="s">
        <v>719</v>
      </c>
      <c r="E817" s="124" t="s">
        <v>745</v>
      </c>
      <c r="F817" s="135">
        <f>344.5-10</f>
        <v>334.5</v>
      </c>
      <c r="G817" s="135">
        <f>344.5-10</f>
        <v>334.5</v>
      </c>
      <c r="H817" s="135">
        <v>300</v>
      </c>
      <c r="I817" s="121">
        <f t="shared" si="101"/>
        <v>89.68609865470853</v>
      </c>
      <c r="J817" s="121">
        <f t="shared" si="102"/>
        <v>89.68609865470853</v>
      </c>
    </row>
    <row r="818" spans="1:10" ht="36">
      <c r="A818" s="134" t="s">
        <v>577</v>
      </c>
      <c r="B818" s="124" t="s">
        <v>1624</v>
      </c>
      <c r="C818" s="124" t="s">
        <v>1627</v>
      </c>
      <c r="D818" s="124" t="s">
        <v>720</v>
      </c>
      <c r="E818" s="124"/>
      <c r="F818" s="132">
        <f>F819+F821</f>
        <v>24.7</v>
      </c>
      <c r="G818" s="132">
        <f>G819+G821</f>
        <v>24.7</v>
      </c>
      <c r="H818" s="132">
        <f>H819+H821</f>
        <v>12.3</v>
      </c>
      <c r="I818" s="121">
        <f t="shared" si="101"/>
        <v>49.79757085020243</v>
      </c>
      <c r="J818" s="121">
        <f t="shared" si="102"/>
        <v>49.79757085020243</v>
      </c>
    </row>
    <row r="819" spans="1:10" ht="24">
      <c r="A819" s="134" t="s">
        <v>782</v>
      </c>
      <c r="B819" s="124" t="s">
        <v>1624</v>
      </c>
      <c r="C819" s="124" t="s">
        <v>1627</v>
      </c>
      <c r="D819" s="124" t="s">
        <v>720</v>
      </c>
      <c r="E819" s="124" t="s">
        <v>1704</v>
      </c>
      <c r="F819" s="132">
        <f>F820</f>
        <v>0.7</v>
      </c>
      <c r="G819" s="132">
        <f>G820</f>
        <v>0.7</v>
      </c>
      <c r="H819" s="132">
        <f>H820</f>
        <v>0.3</v>
      </c>
      <c r="I819" s="121">
        <f t="shared" si="101"/>
        <v>42.85714285714286</v>
      </c>
      <c r="J819" s="121">
        <f t="shared" si="102"/>
        <v>42.85714285714286</v>
      </c>
    </row>
    <row r="820" spans="1:10" ht="36">
      <c r="A820" s="134" t="s">
        <v>1718</v>
      </c>
      <c r="B820" s="124" t="s">
        <v>1624</v>
      </c>
      <c r="C820" s="124" t="s">
        <v>1627</v>
      </c>
      <c r="D820" s="124" t="s">
        <v>720</v>
      </c>
      <c r="E820" s="124" t="s">
        <v>1619</v>
      </c>
      <c r="F820" s="135">
        <v>0.7</v>
      </c>
      <c r="G820" s="135">
        <v>0.7</v>
      </c>
      <c r="H820" s="135">
        <v>0.3</v>
      </c>
      <c r="I820" s="121">
        <f t="shared" si="101"/>
        <v>42.85714285714286</v>
      </c>
      <c r="J820" s="121">
        <f t="shared" si="102"/>
        <v>42.85714285714286</v>
      </c>
    </row>
    <row r="821" spans="1:10" ht="24">
      <c r="A821" s="130" t="s">
        <v>1705</v>
      </c>
      <c r="B821" s="124" t="s">
        <v>1624</v>
      </c>
      <c r="C821" s="124" t="s">
        <v>1627</v>
      </c>
      <c r="D821" s="124" t="s">
        <v>720</v>
      </c>
      <c r="E821" s="124" t="s">
        <v>1706</v>
      </c>
      <c r="F821" s="132">
        <f>F822</f>
        <v>24</v>
      </c>
      <c r="G821" s="132">
        <f>G822</f>
        <v>24</v>
      </c>
      <c r="H821" s="132">
        <f>H822</f>
        <v>12</v>
      </c>
      <c r="I821" s="121">
        <f t="shared" si="101"/>
        <v>50</v>
      </c>
      <c r="J821" s="121">
        <f t="shared" si="102"/>
        <v>50</v>
      </c>
    </row>
    <row r="822" spans="1:10" ht="24">
      <c r="A822" s="129" t="s">
        <v>562</v>
      </c>
      <c r="B822" s="124" t="s">
        <v>1624</v>
      </c>
      <c r="C822" s="124" t="s">
        <v>1627</v>
      </c>
      <c r="D822" s="124" t="s">
        <v>720</v>
      </c>
      <c r="E822" s="124" t="s">
        <v>745</v>
      </c>
      <c r="F822" s="135">
        <f>24.7-0.7</f>
        <v>24</v>
      </c>
      <c r="G822" s="135">
        <f>24.7-0.7</f>
        <v>24</v>
      </c>
      <c r="H822" s="135">
        <v>12</v>
      </c>
      <c r="I822" s="121">
        <f t="shared" si="101"/>
        <v>50</v>
      </c>
      <c r="J822" s="121">
        <f t="shared" si="102"/>
        <v>50</v>
      </c>
    </row>
    <row r="823" spans="1:10" ht="36">
      <c r="A823" s="134" t="s">
        <v>112</v>
      </c>
      <c r="B823" s="124" t="s">
        <v>1624</v>
      </c>
      <c r="C823" s="124" t="s">
        <v>1627</v>
      </c>
      <c r="D823" s="124" t="s">
        <v>721</v>
      </c>
      <c r="E823" s="124"/>
      <c r="F823" s="132">
        <f>F824+F826</f>
        <v>38.6</v>
      </c>
      <c r="G823" s="132">
        <f>G824+G826</f>
        <v>38.6</v>
      </c>
      <c r="H823" s="132">
        <f>H824+H826</f>
        <v>7.6</v>
      </c>
      <c r="I823" s="121">
        <f t="shared" si="101"/>
        <v>19.689119170984455</v>
      </c>
      <c r="J823" s="121">
        <f t="shared" si="102"/>
        <v>19.689119170984455</v>
      </c>
    </row>
    <row r="824" spans="1:10" ht="24">
      <c r="A824" s="134" t="s">
        <v>782</v>
      </c>
      <c r="B824" s="124" t="s">
        <v>1624</v>
      </c>
      <c r="C824" s="124" t="s">
        <v>1627</v>
      </c>
      <c r="D824" s="124" t="s">
        <v>841</v>
      </c>
      <c r="E824" s="124" t="s">
        <v>1704</v>
      </c>
      <c r="F824" s="132">
        <f>F825</f>
        <v>1.1</v>
      </c>
      <c r="G824" s="132">
        <f>G825</f>
        <v>1.1</v>
      </c>
      <c r="H824" s="132">
        <f>H825</f>
        <v>0.1</v>
      </c>
      <c r="I824" s="121">
        <f t="shared" si="101"/>
        <v>9.090909090909092</v>
      </c>
      <c r="J824" s="121">
        <f t="shared" si="102"/>
        <v>9.090909090909092</v>
      </c>
    </row>
    <row r="825" spans="1:10" ht="36">
      <c r="A825" s="134" t="s">
        <v>1718</v>
      </c>
      <c r="B825" s="124" t="s">
        <v>1624</v>
      </c>
      <c r="C825" s="124" t="s">
        <v>1627</v>
      </c>
      <c r="D825" s="124" t="s">
        <v>721</v>
      </c>
      <c r="E825" s="124" t="s">
        <v>1619</v>
      </c>
      <c r="F825" s="135">
        <v>1.1</v>
      </c>
      <c r="G825" s="135">
        <v>1.1</v>
      </c>
      <c r="H825" s="135">
        <v>0.1</v>
      </c>
      <c r="I825" s="121">
        <f t="shared" si="101"/>
        <v>9.090909090909092</v>
      </c>
      <c r="J825" s="121">
        <f t="shared" si="102"/>
        <v>9.090909090909092</v>
      </c>
    </row>
    <row r="826" spans="1:10" ht="24">
      <c r="A826" s="130" t="s">
        <v>1705</v>
      </c>
      <c r="B826" s="124" t="s">
        <v>1624</v>
      </c>
      <c r="C826" s="124" t="s">
        <v>1627</v>
      </c>
      <c r="D826" s="124" t="s">
        <v>721</v>
      </c>
      <c r="E826" s="124" t="s">
        <v>1706</v>
      </c>
      <c r="F826" s="132">
        <f>F827</f>
        <v>37.5</v>
      </c>
      <c r="G826" s="132">
        <f>G827</f>
        <v>37.5</v>
      </c>
      <c r="H826" s="132">
        <f>H827</f>
        <v>7.5</v>
      </c>
      <c r="I826" s="121">
        <f t="shared" si="101"/>
        <v>20</v>
      </c>
      <c r="J826" s="121">
        <f t="shared" si="102"/>
        <v>20</v>
      </c>
    </row>
    <row r="827" spans="1:10" ht="24">
      <c r="A827" s="129" t="s">
        <v>562</v>
      </c>
      <c r="B827" s="124" t="s">
        <v>1624</v>
      </c>
      <c r="C827" s="124" t="s">
        <v>1627</v>
      </c>
      <c r="D827" s="124" t="s">
        <v>721</v>
      </c>
      <c r="E827" s="124" t="s">
        <v>745</v>
      </c>
      <c r="F827" s="135">
        <f>38.6-1.1</f>
        <v>37.5</v>
      </c>
      <c r="G827" s="135">
        <f>38.6-1.1</f>
        <v>37.5</v>
      </c>
      <c r="H827" s="135">
        <v>7.5</v>
      </c>
      <c r="I827" s="121">
        <f t="shared" si="101"/>
        <v>20</v>
      </c>
      <c r="J827" s="121">
        <f t="shared" si="102"/>
        <v>20</v>
      </c>
    </row>
    <row r="828" spans="1:10" ht="24">
      <c r="A828" s="134" t="s">
        <v>1505</v>
      </c>
      <c r="B828" s="124" t="s">
        <v>1624</v>
      </c>
      <c r="C828" s="124" t="s">
        <v>1627</v>
      </c>
      <c r="D828" s="124" t="s">
        <v>722</v>
      </c>
      <c r="E828" s="124"/>
      <c r="F828" s="132">
        <f>F829+F831</f>
        <v>35.5</v>
      </c>
      <c r="G828" s="132">
        <f>G829+G831</f>
        <v>35.5</v>
      </c>
      <c r="H828" s="132">
        <f>H829+H831</f>
        <v>32.2</v>
      </c>
      <c r="I828" s="121">
        <f t="shared" si="101"/>
        <v>90.70422535211269</v>
      </c>
      <c r="J828" s="121">
        <f t="shared" si="102"/>
        <v>90.70422535211269</v>
      </c>
    </row>
    <row r="829" spans="1:10" ht="24">
      <c r="A829" s="134" t="s">
        <v>782</v>
      </c>
      <c r="B829" s="124" t="s">
        <v>1624</v>
      </c>
      <c r="C829" s="124" t="s">
        <v>1627</v>
      </c>
      <c r="D829" s="124" t="s">
        <v>722</v>
      </c>
      <c r="E829" s="124" t="s">
        <v>1704</v>
      </c>
      <c r="F829" s="132">
        <f>F830</f>
        <v>1</v>
      </c>
      <c r="G829" s="132">
        <f>G830</f>
        <v>1</v>
      </c>
      <c r="H829" s="132">
        <f>H830</f>
        <v>0.7</v>
      </c>
      <c r="I829" s="121">
        <f t="shared" si="101"/>
        <v>70</v>
      </c>
      <c r="J829" s="121">
        <f t="shared" si="102"/>
        <v>70</v>
      </c>
    </row>
    <row r="830" spans="1:10" ht="36">
      <c r="A830" s="134" t="s">
        <v>1718</v>
      </c>
      <c r="B830" s="124" t="s">
        <v>1624</v>
      </c>
      <c r="C830" s="124" t="s">
        <v>1627</v>
      </c>
      <c r="D830" s="124" t="s">
        <v>722</v>
      </c>
      <c r="E830" s="124" t="s">
        <v>1619</v>
      </c>
      <c r="F830" s="135">
        <v>1</v>
      </c>
      <c r="G830" s="135">
        <v>1</v>
      </c>
      <c r="H830" s="135">
        <v>0.7</v>
      </c>
      <c r="I830" s="121">
        <f t="shared" si="101"/>
        <v>70</v>
      </c>
      <c r="J830" s="121">
        <f t="shared" si="102"/>
        <v>70</v>
      </c>
    </row>
    <row r="831" spans="1:10" ht="24">
      <c r="A831" s="130" t="s">
        <v>1705</v>
      </c>
      <c r="B831" s="124" t="s">
        <v>1624</v>
      </c>
      <c r="C831" s="124" t="s">
        <v>1627</v>
      </c>
      <c r="D831" s="124" t="s">
        <v>722</v>
      </c>
      <c r="E831" s="124" t="s">
        <v>1706</v>
      </c>
      <c r="F831" s="132">
        <f>F832</f>
        <v>34.5</v>
      </c>
      <c r="G831" s="132">
        <f>G832</f>
        <v>34.5</v>
      </c>
      <c r="H831" s="132">
        <f>H832</f>
        <v>31.5</v>
      </c>
      <c r="I831" s="121">
        <f t="shared" si="101"/>
        <v>91.30434782608695</v>
      </c>
      <c r="J831" s="121">
        <f t="shared" si="102"/>
        <v>91.30434782608695</v>
      </c>
    </row>
    <row r="832" spans="1:10" ht="24">
      <c r="A832" s="129" t="s">
        <v>562</v>
      </c>
      <c r="B832" s="124" t="s">
        <v>1624</v>
      </c>
      <c r="C832" s="124" t="s">
        <v>1627</v>
      </c>
      <c r="D832" s="124" t="s">
        <v>722</v>
      </c>
      <c r="E832" s="124" t="s">
        <v>745</v>
      </c>
      <c r="F832" s="135">
        <f>35.5-1</f>
        <v>34.5</v>
      </c>
      <c r="G832" s="135">
        <f>35.5-1</f>
        <v>34.5</v>
      </c>
      <c r="H832" s="135">
        <v>31.5</v>
      </c>
      <c r="I832" s="121">
        <f t="shared" si="101"/>
        <v>91.30434782608695</v>
      </c>
      <c r="J832" s="121">
        <f t="shared" si="102"/>
        <v>91.30434782608695</v>
      </c>
    </row>
    <row r="833" spans="1:10" ht="24">
      <c r="A833" s="134" t="s">
        <v>842</v>
      </c>
      <c r="B833" s="124" t="s">
        <v>1624</v>
      </c>
      <c r="C833" s="124" t="s">
        <v>1627</v>
      </c>
      <c r="D833" s="124" t="s">
        <v>723</v>
      </c>
      <c r="E833" s="124"/>
      <c r="F833" s="132">
        <f>F834+F836</f>
        <v>13.9</v>
      </c>
      <c r="G833" s="132">
        <f>G834+G836</f>
        <v>13.9</v>
      </c>
      <c r="H833" s="132">
        <f>H834+H836</f>
        <v>9.1</v>
      </c>
      <c r="I833" s="121">
        <f t="shared" si="101"/>
        <v>65.46762589928056</v>
      </c>
      <c r="J833" s="121">
        <f t="shared" si="102"/>
        <v>65.46762589928056</v>
      </c>
    </row>
    <row r="834" spans="1:10" ht="24">
      <c r="A834" s="134" t="s">
        <v>782</v>
      </c>
      <c r="B834" s="124" t="s">
        <v>1624</v>
      </c>
      <c r="C834" s="124" t="s">
        <v>1627</v>
      </c>
      <c r="D834" s="124" t="s">
        <v>723</v>
      </c>
      <c r="E834" s="124" t="s">
        <v>1704</v>
      </c>
      <c r="F834" s="132">
        <f>F835</f>
        <v>0.4</v>
      </c>
      <c r="G834" s="132">
        <f>G835</f>
        <v>0.4</v>
      </c>
      <c r="H834" s="132">
        <f>H835</f>
        <v>0.1</v>
      </c>
      <c r="I834" s="121">
        <f t="shared" si="101"/>
        <v>25</v>
      </c>
      <c r="J834" s="121">
        <f t="shared" si="102"/>
        <v>25</v>
      </c>
    </row>
    <row r="835" spans="1:10" ht="36">
      <c r="A835" s="134" t="s">
        <v>1718</v>
      </c>
      <c r="B835" s="124" t="s">
        <v>1624</v>
      </c>
      <c r="C835" s="124" t="s">
        <v>1627</v>
      </c>
      <c r="D835" s="124" t="s">
        <v>723</v>
      </c>
      <c r="E835" s="124" t="s">
        <v>1619</v>
      </c>
      <c r="F835" s="135">
        <v>0.4</v>
      </c>
      <c r="G835" s="135">
        <v>0.4</v>
      </c>
      <c r="H835" s="135">
        <v>0.1</v>
      </c>
      <c r="I835" s="121">
        <f t="shared" si="101"/>
        <v>25</v>
      </c>
      <c r="J835" s="121">
        <f t="shared" si="102"/>
        <v>25</v>
      </c>
    </row>
    <row r="836" spans="1:10" ht="24">
      <c r="A836" s="130" t="s">
        <v>1705</v>
      </c>
      <c r="B836" s="124" t="s">
        <v>1624</v>
      </c>
      <c r="C836" s="124" t="s">
        <v>1627</v>
      </c>
      <c r="D836" s="124" t="s">
        <v>723</v>
      </c>
      <c r="E836" s="124" t="s">
        <v>1706</v>
      </c>
      <c r="F836" s="132">
        <f>F837</f>
        <v>13.5</v>
      </c>
      <c r="G836" s="132">
        <f>G837</f>
        <v>13.5</v>
      </c>
      <c r="H836" s="132">
        <f>H837</f>
        <v>9</v>
      </c>
      <c r="I836" s="121">
        <f t="shared" si="101"/>
        <v>66.66666666666666</v>
      </c>
      <c r="J836" s="121">
        <f t="shared" si="102"/>
        <v>66.66666666666666</v>
      </c>
    </row>
    <row r="837" spans="1:10" ht="24">
      <c r="A837" s="129" t="s">
        <v>562</v>
      </c>
      <c r="B837" s="124" t="s">
        <v>1624</v>
      </c>
      <c r="C837" s="124" t="s">
        <v>1627</v>
      </c>
      <c r="D837" s="124" t="s">
        <v>723</v>
      </c>
      <c r="E837" s="124" t="s">
        <v>745</v>
      </c>
      <c r="F837" s="135">
        <f>13.9-0.4</f>
        <v>13.5</v>
      </c>
      <c r="G837" s="135">
        <f>13.9-0.4</f>
        <v>13.5</v>
      </c>
      <c r="H837" s="135">
        <v>9</v>
      </c>
      <c r="I837" s="121">
        <f t="shared" si="101"/>
        <v>66.66666666666666</v>
      </c>
      <c r="J837" s="121">
        <f t="shared" si="102"/>
        <v>66.66666666666666</v>
      </c>
    </row>
    <row r="838" spans="1:10" ht="36">
      <c r="A838" s="134" t="s">
        <v>818</v>
      </c>
      <c r="B838" s="124" t="s">
        <v>1624</v>
      </c>
      <c r="C838" s="124" t="s">
        <v>1627</v>
      </c>
      <c r="D838" s="124" t="s">
        <v>724</v>
      </c>
      <c r="E838" s="124"/>
      <c r="F838" s="132">
        <f>F839+F841</f>
        <v>8352</v>
      </c>
      <c r="G838" s="132">
        <f>G839+G841</f>
        <v>8402</v>
      </c>
      <c r="H838" s="132">
        <f>H839+H841</f>
        <v>8305.8</v>
      </c>
      <c r="I838" s="121">
        <f t="shared" si="101"/>
        <v>99.44683908045975</v>
      </c>
      <c r="J838" s="121">
        <f t="shared" si="102"/>
        <v>98.85503451559153</v>
      </c>
    </row>
    <row r="839" spans="1:10" ht="24">
      <c r="A839" s="134" t="s">
        <v>782</v>
      </c>
      <c r="B839" s="124" t="s">
        <v>1624</v>
      </c>
      <c r="C839" s="124" t="s">
        <v>1627</v>
      </c>
      <c r="D839" s="124" t="s">
        <v>724</v>
      </c>
      <c r="E839" s="124" t="s">
        <v>1704</v>
      </c>
      <c r="F839" s="132">
        <f>F840</f>
        <v>67.5</v>
      </c>
      <c r="G839" s="132">
        <f>G840</f>
        <v>87.5</v>
      </c>
      <c r="H839" s="132">
        <f>H840</f>
        <v>80.3</v>
      </c>
      <c r="I839" s="121">
        <f t="shared" si="101"/>
        <v>118.96296296296296</v>
      </c>
      <c r="J839" s="121">
        <f t="shared" si="102"/>
        <v>91.77142857142857</v>
      </c>
    </row>
    <row r="840" spans="1:10" ht="36">
      <c r="A840" s="134" t="s">
        <v>1718</v>
      </c>
      <c r="B840" s="124" t="s">
        <v>1624</v>
      </c>
      <c r="C840" s="124" t="s">
        <v>1627</v>
      </c>
      <c r="D840" s="124" t="s">
        <v>724</v>
      </c>
      <c r="E840" s="124" t="s">
        <v>1619</v>
      </c>
      <c r="F840" s="135">
        <f>67.5</f>
        <v>67.5</v>
      </c>
      <c r="G840" s="135">
        <f>67.5+20</f>
        <v>87.5</v>
      </c>
      <c r="H840" s="135">
        <v>80.3</v>
      </c>
      <c r="I840" s="121">
        <f t="shared" si="101"/>
        <v>118.96296296296296</v>
      </c>
      <c r="J840" s="121">
        <f t="shared" si="102"/>
        <v>91.77142857142857</v>
      </c>
    </row>
    <row r="841" spans="1:10" ht="24">
      <c r="A841" s="130" t="s">
        <v>1705</v>
      </c>
      <c r="B841" s="124" t="s">
        <v>1624</v>
      </c>
      <c r="C841" s="124" t="s">
        <v>1627</v>
      </c>
      <c r="D841" s="124" t="s">
        <v>724</v>
      </c>
      <c r="E841" s="124" t="s">
        <v>1706</v>
      </c>
      <c r="F841" s="132">
        <f>F842</f>
        <v>8284.5</v>
      </c>
      <c r="G841" s="132">
        <f>G842</f>
        <v>8314.5</v>
      </c>
      <c r="H841" s="132">
        <f>H842</f>
        <v>8225.5</v>
      </c>
      <c r="I841" s="121">
        <f t="shared" si="101"/>
        <v>99.28782666425252</v>
      </c>
      <c r="J841" s="121">
        <f t="shared" si="102"/>
        <v>98.92958085272716</v>
      </c>
    </row>
    <row r="842" spans="1:10" ht="24">
      <c r="A842" s="129" t="s">
        <v>562</v>
      </c>
      <c r="B842" s="124" t="s">
        <v>1624</v>
      </c>
      <c r="C842" s="124" t="s">
        <v>1627</v>
      </c>
      <c r="D842" s="124" t="s">
        <v>724</v>
      </c>
      <c r="E842" s="124" t="s">
        <v>745</v>
      </c>
      <c r="F842" s="135">
        <f>8284.5</f>
        <v>8284.5</v>
      </c>
      <c r="G842" s="135">
        <f>8284.5+30</f>
        <v>8314.5</v>
      </c>
      <c r="H842" s="135">
        <v>8225.5</v>
      </c>
      <c r="I842" s="121">
        <f t="shared" si="101"/>
        <v>99.28782666425252</v>
      </c>
      <c r="J842" s="121">
        <f t="shared" si="102"/>
        <v>98.92958085272716</v>
      </c>
    </row>
    <row r="843" spans="1:10" ht="48">
      <c r="A843" s="134" t="s">
        <v>13</v>
      </c>
      <c r="B843" s="124" t="s">
        <v>1624</v>
      </c>
      <c r="C843" s="124" t="s">
        <v>1627</v>
      </c>
      <c r="D843" s="124" t="s">
        <v>725</v>
      </c>
      <c r="E843" s="124"/>
      <c r="F843" s="132">
        <f>F844+F846</f>
        <v>32.5</v>
      </c>
      <c r="G843" s="132">
        <f>G844+G846</f>
        <v>32.5</v>
      </c>
      <c r="H843" s="132">
        <f>H844+H846</f>
        <v>27</v>
      </c>
      <c r="I843" s="121">
        <f t="shared" si="101"/>
        <v>83.07692307692308</v>
      </c>
      <c r="J843" s="121">
        <f t="shared" si="102"/>
        <v>83.07692307692308</v>
      </c>
    </row>
    <row r="844" spans="1:10" ht="24">
      <c r="A844" s="134" t="s">
        <v>782</v>
      </c>
      <c r="B844" s="124" t="s">
        <v>1624</v>
      </c>
      <c r="C844" s="124" t="s">
        <v>1627</v>
      </c>
      <c r="D844" s="124" t="s">
        <v>725</v>
      </c>
      <c r="E844" s="124" t="s">
        <v>1704</v>
      </c>
      <c r="F844" s="132">
        <f>F845</f>
        <v>1</v>
      </c>
      <c r="G844" s="132">
        <f>G845</f>
        <v>1</v>
      </c>
      <c r="H844" s="132">
        <f>H845</f>
        <v>0</v>
      </c>
      <c r="I844" s="121">
        <f t="shared" si="101"/>
        <v>0</v>
      </c>
      <c r="J844" s="121">
        <f t="shared" si="102"/>
        <v>0</v>
      </c>
    </row>
    <row r="845" spans="1:10" ht="36">
      <c r="A845" s="134" t="s">
        <v>1718</v>
      </c>
      <c r="B845" s="124" t="s">
        <v>1624</v>
      </c>
      <c r="C845" s="124" t="s">
        <v>1627</v>
      </c>
      <c r="D845" s="124" t="s">
        <v>725</v>
      </c>
      <c r="E845" s="124" t="s">
        <v>1619</v>
      </c>
      <c r="F845" s="135">
        <v>1</v>
      </c>
      <c r="G845" s="135">
        <v>1</v>
      </c>
      <c r="H845" s="135">
        <v>0</v>
      </c>
      <c r="I845" s="121">
        <f t="shared" si="101"/>
        <v>0</v>
      </c>
      <c r="J845" s="121">
        <f t="shared" si="102"/>
        <v>0</v>
      </c>
    </row>
    <row r="846" spans="1:10" ht="24">
      <c r="A846" s="130" t="s">
        <v>1705</v>
      </c>
      <c r="B846" s="124" t="s">
        <v>1624</v>
      </c>
      <c r="C846" s="124" t="s">
        <v>1627</v>
      </c>
      <c r="D846" s="124" t="s">
        <v>725</v>
      </c>
      <c r="E846" s="124" t="s">
        <v>1706</v>
      </c>
      <c r="F846" s="132">
        <f>F847</f>
        <v>31.5</v>
      </c>
      <c r="G846" s="132">
        <f>G847</f>
        <v>31.5</v>
      </c>
      <c r="H846" s="132">
        <f>H847</f>
        <v>27</v>
      </c>
      <c r="I846" s="121">
        <f t="shared" si="101"/>
        <v>85.71428571428571</v>
      </c>
      <c r="J846" s="121">
        <f t="shared" si="102"/>
        <v>85.71428571428571</v>
      </c>
    </row>
    <row r="847" spans="1:10" ht="24">
      <c r="A847" s="129" t="s">
        <v>562</v>
      </c>
      <c r="B847" s="124" t="s">
        <v>1624</v>
      </c>
      <c r="C847" s="124" t="s">
        <v>1627</v>
      </c>
      <c r="D847" s="124" t="s">
        <v>725</v>
      </c>
      <c r="E847" s="124" t="s">
        <v>745</v>
      </c>
      <c r="F847" s="135">
        <f>32.4-0.9</f>
        <v>31.5</v>
      </c>
      <c r="G847" s="135">
        <f>32.4-0.9</f>
        <v>31.5</v>
      </c>
      <c r="H847" s="135">
        <v>27</v>
      </c>
      <c r="I847" s="121">
        <f t="shared" si="101"/>
        <v>85.71428571428571</v>
      </c>
      <c r="J847" s="121">
        <f t="shared" si="102"/>
        <v>85.71428571428571</v>
      </c>
    </row>
    <row r="848" spans="1:10" ht="24">
      <c r="A848" s="134" t="s">
        <v>22</v>
      </c>
      <c r="B848" s="124" t="s">
        <v>1624</v>
      </c>
      <c r="C848" s="124" t="s">
        <v>1627</v>
      </c>
      <c r="D848" s="124" t="s">
        <v>726</v>
      </c>
      <c r="E848" s="124"/>
      <c r="F848" s="132">
        <f aca="true" t="shared" si="105" ref="F848:H849">F849</f>
        <v>300</v>
      </c>
      <c r="G848" s="132">
        <f t="shared" si="105"/>
        <v>182</v>
      </c>
      <c r="H848" s="132">
        <f t="shared" si="105"/>
        <v>100.5</v>
      </c>
      <c r="I848" s="121">
        <f aca="true" t="shared" si="106" ref="I848:I911">H848/F848*100</f>
        <v>33.5</v>
      </c>
      <c r="J848" s="121">
        <f aca="true" t="shared" si="107" ref="J848:J907">H848/G848*100</f>
        <v>55.219780219780226</v>
      </c>
    </row>
    <row r="849" spans="1:10" ht="24">
      <c r="A849" s="130" t="s">
        <v>1705</v>
      </c>
      <c r="B849" s="124" t="s">
        <v>1624</v>
      </c>
      <c r="C849" s="124" t="s">
        <v>1627</v>
      </c>
      <c r="D849" s="124" t="s">
        <v>726</v>
      </c>
      <c r="E849" s="124" t="s">
        <v>1706</v>
      </c>
      <c r="F849" s="132">
        <f t="shared" si="105"/>
        <v>300</v>
      </c>
      <c r="G849" s="132">
        <f t="shared" si="105"/>
        <v>182</v>
      </c>
      <c r="H849" s="132">
        <f t="shared" si="105"/>
        <v>100.5</v>
      </c>
      <c r="I849" s="121">
        <f t="shared" si="106"/>
        <v>33.5</v>
      </c>
      <c r="J849" s="121">
        <f t="shared" si="107"/>
        <v>55.219780219780226</v>
      </c>
    </row>
    <row r="850" spans="1:10" ht="24">
      <c r="A850" s="129" t="s">
        <v>562</v>
      </c>
      <c r="B850" s="124" t="s">
        <v>1624</v>
      </c>
      <c r="C850" s="124" t="s">
        <v>1627</v>
      </c>
      <c r="D850" s="124" t="s">
        <v>726</v>
      </c>
      <c r="E850" s="124" t="s">
        <v>745</v>
      </c>
      <c r="F850" s="135">
        <f>300</f>
        <v>300</v>
      </c>
      <c r="G850" s="135">
        <f>300-50-68</f>
        <v>182</v>
      </c>
      <c r="H850" s="135">
        <v>100.5</v>
      </c>
      <c r="I850" s="121">
        <f t="shared" si="106"/>
        <v>33.5</v>
      </c>
      <c r="J850" s="121">
        <f t="shared" si="107"/>
        <v>55.219780219780226</v>
      </c>
    </row>
    <row r="851" spans="1:10" ht="36">
      <c r="A851" s="134" t="s">
        <v>819</v>
      </c>
      <c r="B851" s="124" t="s">
        <v>1624</v>
      </c>
      <c r="C851" s="124" t="s">
        <v>1627</v>
      </c>
      <c r="D851" s="124" t="s">
        <v>727</v>
      </c>
      <c r="E851" s="124"/>
      <c r="F851" s="132">
        <f>F852+F854</f>
        <v>1000</v>
      </c>
      <c r="G851" s="132">
        <f>G852+G854</f>
        <v>6128.5</v>
      </c>
      <c r="H851" s="132">
        <f>H852+H854</f>
        <v>6104.2</v>
      </c>
      <c r="I851" s="121">
        <f t="shared" si="106"/>
        <v>610.42</v>
      </c>
      <c r="J851" s="121">
        <f t="shared" si="107"/>
        <v>99.60349188218977</v>
      </c>
    </row>
    <row r="852" spans="1:10" ht="24">
      <c r="A852" s="134" t="s">
        <v>782</v>
      </c>
      <c r="B852" s="124" t="s">
        <v>1624</v>
      </c>
      <c r="C852" s="124" t="s">
        <v>1627</v>
      </c>
      <c r="D852" s="124" t="s">
        <v>727</v>
      </c>
      <c r="E852" s="124" t="s">
        <v>1704</v>
      </c>
      <c r="F852" s="132">
        <f>F853</f>
        <v>20</v>
      </c>
      <c r="G852" s="132">
        <f>G853</f>
        <v>20</v>
      </c>
      <c r="H852" s="132">
        <f>H853</f>
        <v>1.9</v>
      </c>
      <c r="I852" s="121">
        <f t="shared" si="106"/>
        <v>9.5</v>
      </c>
      <c r="J852" s="121">
        <f t="shared" si="107"/>
        <v>9.5</v>
      </c>
    </row>
    <row r="853" spans="1:10" ht="36">
      <c r="A853" s="134" t="s">
        <v>1718</v>
      </c>
      <c r="B853" s="124" t="s">
        <v>1624</v>
      </c>
      <c r="C853" s="124" t="s">
        <v>1627</v>
      </c>
      <c r="D853" s="124" t="s">
        <v>727</v>
      </c>
      <c r="E853" s="124" t="s">
        <v>1619</v>
      </c>
      <c r="F853" s="135">
        <v>20</v>
      </c>
      <c r="G853" s="135">
        <v>20</v>
      </c>
      <c r="H853" s="135">
        <v>1.9</v>
      </c>
      <c r="I853" s="121">
        <f t="shared" si="106"/>
        <v>9.5</v>
      </c>
      <c r="J853" s="121">
        <f t="shared" si="107"/>
        <v>9.5</v>
      </c>
    </row>
    <row r="854" spans="1:10" ht="24">
      <c r="A854" s="130" t="s">
        <v>1705</v>
      </c>
      <c r="B854" s="124" t="s">
        <v>1624</v>
      </c>
      <c r="C854" s="124" t="s">
        <v>1627</v>
      </c>
      <c r="D854" s="124" t="s">
        <v>727</v>
      </c>
      <c r="E854" s="124" t="s">
        <v>1706</v>
      </c>
      <c r="F854" s="132">
        <f>F855</f>
        <v>980</v>
      </c>
      <c r="G854" s="132">
        <f>G855</f>
        <v>6108.5</v>
      </c>
      <c r="H854" s="132">
        <f>H855</f>
        <v>6102.3</v>
      </c>
      <c r="I854" s="121">
        <f t="shared" si="106"/>
        <v>622.6836734693878</v>
      </c>
      <c r="J854" s="121">
        <f t="shared" si="107"/>
        <v>99.89850208725547</v>
      </c>
    </row>
    <row r="855" spans="1:10" ht="24">
      <c r="A855" s="129" t="s">
        <v>562</v>
      </c>
      <c r="B855" s="124" t="s">
        <v>1624</v>
      </c>
      <c r="C855" s="124" t="s">
        <v>1627</v>
      </c>
      <c r="D855" s="124" t="s">
        <v>727</v>
      </c>
      <c r="E855" s="124" t="s">
        <v>745</v>
      </c>
      <c r="F855" s="135">
        <f>1000-20</f>
        <v>980</v>
      </c>
      <c r="G855" s="135">
        <f>1000-20+120+60+465+1053.8+420+1844.7+120+30+150+90+285+400+60+30</f>
        <v>6108.5</v>
      </c>
      <c r="H855" s="135">
        <v>6102.3</v>
      </c>
      <c r="I855" s="121">
        <f t="shared" si="106"/>
        <v>622.6836734693878</v>
      </c>
      <c r="J855" s="121">
        <f t="shared" si="107"/>
        <v>99.89850208725547</v>
      </c>
    </row>
    <row r="856" spans="1:10" ht="39" customHeight="1">
      <c r="A856" s="129" t="s">
        <v>53</v>
      </c>
      <c r="B856" s="124" t="s">
        <v>1624</v>
      </c>
      <c r="C856" s="124" t="s">
        <v>1627</v>
      </c>
      <c r="D856" s="124" t="s">
        <v>54</v>
      </c>
      <c r="E856" s="124"/>
      <c r="F856" s="154">
        <f aca="true" t="shared" si="108" ref="F856:H857">F857</f>
        <v>0</v>
      </c>
      <c r="G856" s="154">
        <f t="shared" si="108"/>
        <v>232</v>
      </c>
      <c r="H856" s="154">
        <f t="shared" si="108"/>
        <v>231.2</v>
      </c>
      <c r="I856" s="121">
        <v>0</v>
      </c>
      <c r="J856" s="121">
        <f t="shared" si="107"/>
        <v>99.6551724137931</v>
      </c>
    </row>
    <row r="857" spans="1:10" ht="24">
      <c r="A857" s="130" t="s">
        <v>1705</v>
      </c>
      <c r="B857" s="124" t="s">
        <v>1624</v>
      </c>
      <c r="C857" s="124" t="s">
        <v>1627</v>
      </c>
      <c r="D857" s="124" t="s">
        <v>54</v>
      </c>
      <c r="E857" s="124" t="s">
        <v>1706</v>
      </c>
      <c r="F857" s="154">
        <f t="shared" si="108"/>
        <v>0</v>
      </c>
      <c r="G857" s="154">
        <f t="shared" si="108"/>
        <v>232</v>
      </c>
      <c r="H857" s="154">
        <f t="shared" si="108"/>
        <v>231.2</v>
      </c>
      <c r="I857" s="121">
        <v>0</v>
      </c>
      <c r="J857" s="121">
        <f t="shared" si="107"/>
        <v>99.6551724137931</v>
      </c>
    </row>
    <row r="858" spans="1:10" ht="24">
      <c r="A858" s="129" t="s">
        <v>562</v>
      </c>
      <c r="B858" s="124" t="s">
        <v>1624</v>
      </c>
      <c r="C858" s="124" t="s">
        <v>1627</v>
      </c>
      <c r="D858" s="124" t="s">
        <v>54</v>
      </c>
      <c r="E858" s="124" t="s">
        <v>745</v>
      </c>
      <c r="F858" s="135">
        <v>0</v>
      </c>
      <c r="G858" s="135">
        <v>232</v>
      </c>
      <c r="H858" s="135">
        <v>231.2</v>
      </c>
      <c r="I858" s="121">
        <v>0</v>
      </c>
      <c r="J858" s="121">
        <f t="shared" si="107"/>
        <v>99.6551724137931</v>
      </c>
    </row>
    <row r="859" spans="1:10" ht="24">
      <c r="A859" s="134" t="s">
        <v>754</v>
      </c>
      <c r="B859" s="124" t="s">
        <v>1624</v>
      </c>
      <c r="C859" s="124" t="s">
        <v>1627</v>
      </c>
      <c r="D859" s="124" t="s">
        <v>728</v>
      </c>
      <c r="E859" s="124"/>
      <c r="F859" s="132">
        <f>F860+F862</f>
        <v>3000</v>
      </c>
      <c r="G859" s="132">
        <f>G860+G862</f>
        <v>3000</v>
      </c>
      <c r="H859" s="132">
        <f>H860+H862</f>
        <v>2948.4</v>
      </c>
      <c r="I859" s="121">
        <f t="shared" si="106"/>
        <v>98.28</v>
      </c>
      <c r="J859" s="121">
        <f t="shared" si="107"/>
        <v>98.28</v>
      </c>
    </row>
    <row r="860" spans="1:10" ht="24">
      <c r="A860" s="134" t="s">
        <v>782</v>
      </c>
      <c r="B860" s="124" t="s">
        <v>1624</v>
      </c>
      <c r="C860" s="124" t="s">
        <v>1627</v>
      </c>
      <c r="D860" s="124" t="s">
        <v>728</v>
      </c>
      <c r="E860" s="124" t="s">
        <v>1704</v>
      </c>
      <c r="F860" s="132">
        <f>F861</f>
        <v>50</v>
      </c>
      <c r="G860" s="132">
        <f>G861</f>
        <v>50</v>
      </c>
      <c r="H860" s="132">
        <f>H861</f>
        <v>0.8</v>
      </c>
      <c r="I860" s="121">
        <f t="shared" si="106"/>
        <v>1.6</v>
      </c>
      <c r="J860" s="121">
        <f t="shared" si="107"/>
        <v>1.6</v>
      </c>
    </row>
    <row r="861" spans="1:10" ht="36">
      <c r="A861" s="134" t="s">
        <v>1718</v>
      </c>
      <c r="B861" s="124" t="s">
        <v>1624</v>
      </c>
      <c r="C861" s="124" t="s">
        <v>1627</v>
      </c>
      <c r="D861" s="124" t="s">
        <v>728</v>
      </c>
      <c r="E861" s="124" t="s">
        <v>1619</v>
      </c>
      <c r="F861" s="135">
        <v>50</v>
      </c>
      <c r="G861" s="135">
        <v>50</v>
      </c>
      <c r="H861" s="135">
        <v>0.8</v>
      </c>
      <c r="I861" s="121">
        <f t="shared" si="106"/>
        <v>1.6</v>
      </c>
      <c r="J861" s="121">
        <f t="shared" si="107"/>
        <v>1.6</v>
      </c>
    </row>
    <row r="862" spans="1:10" ht="24">
      <c r="A862" s="130" t="s">
        <v>1705</v>
      </c>
      <c r="B862" s="124" t="s">
        <v>1624</v>
      </c>
      <c r="C862" s="124" t="s">
        <v>1627</v>
      </c>
      <c r="D862" s="124" t="s">
        <v>728</v>
      </c>
      <c r="E862" s="124" t="s">
        <v>1706</v>
      </c>
      <c r="F862" s="132">
        <f>F863</f>
        <v>2950</v>
      </c>
      <c r="G862" s="132">
        <f>G863</f>
        <v>2950</v>
      </c>
      <c r="H862" s="132">
        <f>H863</f>
        <v>2947.6</v>
      </c>
      <c r="I862" s="121">
        <f t="shared" si="106"/>
        <v>99.9186440677966</v>
      </c>
      <c r="J862" s="121">
        <f t="shared" si="107"/>
        <v>99.9186440677966</v>
      </c>
    </row>
    <row r="863" spans="1:10" ht="24">
      <c r="A863" s="129" t="s">
        <v>562</v>
      </c>
      <c r="B863" s="124" t="s">
        <v>1624</v>
      </c>
      <c r="C863" s="124" t="s">
        <v>1627</v>
      </c>
      <c r="D863" s="124" t="s">
        <v>728</v>
      </c>
      <c r="E863" s="124" t="s">
        <v>745</v>
      </c>
      <c r="F863" s="135">
        <v>2950</v>
      </c>
      <c r="G863" s="135">
        <v>2950</v>
      </c>
      <c r="H863" s="135">
        <v>2947.6</v>
      </c>
      <c r="I863" s="121">
        <f t="shared" si="106"/>
        <v>99.9186440677966</v>
      </c>
      <c r="J863" s="121">
        <f t="shared" si="107"/>
        <v>99.9186440677966</v>
      </c>
    </row>
    <row r="864" spans="1:10" ht="84">
      <c r="A864" s="161" t="s">
        <v>563</v>
      </c>
      <c r="B864" s="124" t="s">
        <v>1624</v>
      </c>
      <c r="C864" s="124" t="s">
        <v>1627</v>
      </c>
      <c r="D864" s="124" t="s">
        <v>729</v>
      </c>
      <c r="E864" s="124"/>
      <c r="F864" s="132">
        <f aca="true" t="shared" si="109" ref="F864:H865">F865</f>
        <v>1270</v>
      </c>
      <c r="G864" s="132">
        <f t="shared" si="109"/>
        <v>1270</v>
      </c>
      <c r="H864" s="132">
        <f t="shared" si="109"/>
        <v>1270</v>
      </c>
      <c r="I864" s="121">
        <f t="shared" si="106"/>
        <v>100</v>
      </c>
      <c r="J864" s="121">
        <f t="shared" si="107"/>
        <v>100</v>
      </c>
    </row>
    <row r="865" spans="1:10" ht="24">
      <c r="A865" s="130" t="s">
        <v>1705</v>
      </c>
      <c r="B865" s="124" t="s">
        <v>1624</v>
      </c>
      <c r="C865" s="124" t="s">
        <v>1627</v>
      </c>
      <c r="D865" s="124" t="s">
        <v>729</v>
      </c>
      <c r="E865" s="124" t="s">
        <v>1706</v>
      </c>
      <c r="F865" s="132">
        <f t="shared" si="109"/>
        <v>1270</v>
      </c>
      <c r="G865" s="132">
        <f t="shared" si="109"/>
        <v>1270</v>
      </c>
      <c r="H865" s="132">
        <f t="shared" si="109"/>
        <v>1270</v>
      </c>
      <c r="I865" s="121">
        <f t="shared" si="106"/>
        <v>100</v>
      </c>
      <c r="J865" s="121">
        <f t="shared" si="107"/>
        <v>100</v>
      </c>
    </row>
    <row r="866" spans="1:10" ht="24">
      <c r="A866" s="129" t="s">
        <v>977</v>
      </c>
      <c r="B866" s="124" t="s">
        <v>1624</v>
      </c>
      <c r="C866" s="124" t="s">
        <v>1627</v>
      </c>
      <c r="D866" s="124" t="s">
        <v>729</v>
      </c>
      <c r="E866" s="124" t="s">
        <v>846</v>
      </c>
      <c r="F866" s="135">
        <v>1270</v>
      </c>
      <c r="G866" s="135">
        <v>1270</v>
      </c>
      <c r="H866" s="135">
        <v>1270</v>
      </c>
      <c r="I866" s="121">
        <f t="shared" si="106"/>
        <v>100</v>
      </c>
      <c r="J866" s="121">
        <f t="shared" si="107"/>
        <v>100</v>
      </c>
    </row>
    <row r="867" spans="1:10" ht="36">
      <c r="A867" s="134" t="s">
        <v>1636</v>
      </c>
      <c r="B867" s="124" t="s">
        <v>1624</v>
      </c>
      <c r="C867" s="124" t="s">
        <v>1627</v>
      </c>
      <c r="D867" s="124" t="s">
        <v>730</v>
      </c>
      <c r="E867" s="124"/>
      <c r="F867" s="132">
        <f aca="true" t="shared" si="110" ref="F867:H868">F868</f>
        <v>4000</v>
      </c>
      <c r="G867" s="132">
        <f t="shared" si="110"/>
        <v>4000</v>
      </c>
      <c r="H867" s="132">
        <f t="shared" si="110"/>
        <v>3371.5</v>
      </c>
      <c r="I867" s="121">
        <f t="shared" si="106"/>
        <v>84.28750000000001</v>
      </c>
      <c r="J867" s="121">
        <f t="shared" si="107"/>
        <v>84.28750000000001</v>
      </c>
    </row>
    <row r="868" spans="1:10" ht="24">
      <c r="A868" s="130" t="s">
        <v>1705</v>
      </c>
      <c r="B868" s="124" t="s">
        <v>1624</v>
      </c>
      <c r="C868" s="124" t="s">
        <v>1627</v>
      </c>
      <c r="D868" s="124" t="s">
        <v>730</v>
      </c>
      <c r="E868" s="124" t="s">
        <v>1706</v>
      </c>
      <c r="F868" s="132">
        <f t="shared" si="110"/>
        <v>4000</v>
      </c>
      <c r="G868" s="132">
        <f t="shared" si="110"/>
        <v>4000</v>
      </c>
      <c r="H868" s="132">
        <f t="shared" si="110"/>
        <v>3371.5</v>
      </c>
      <c r="I868" s="121">
        <f t="shared" si="106"/>
        <v>84.28750000000001</v>
      </c>
      <c r="J868" s="121">
        <f t="shared" si="107"/>
        <v>84.28750000000001</v>
      </c>
    </row>
    <row r="869" spans="1:10" ht="24">
      <c r="A869" s="129" t="s">
        <v>562</v>
      </c>
      <c r="B869" s="124" t="s">
        <v>1624</v>
      </c>
      <c r="C869" s="124" t="s">
        <v>1627</v>
      </c>
      <c r="D869" s="124" t="s">
        <v>730</v>
      </c>
      <c r="E869" s="124" t="s">
        <v>745</v>
      </c>
      <c r="F869" s="135">
        <v>4000</v>
      </c>
      <c r="G869" s="135">
        <v>4000</v>
      </c>
      <c r="H869" s="135">
        <v>3371.5</v>
      </c>
      <c r="I869" s="121">
        <f t="shared" si="106"/>
        <v>84.28750000000001</v>
      </c>
      <c r="J869" s="121">
        <f t="shared" si="107"/>
        <v>84.28750000000001</v>
      </c>
    </row>
    <row r="870" spans="1:10" ht="24">
      <c r="A870" s="152" t="s">
        <v>1034</v>
      </c>
      <c r="B870" s="124" t="s">
        <v>1624</v>
      </c>
      <c r="C870" s="124" t="s">
        <v>1627</v>
      </c>
      <c r="D870" s="124" t="s">
        <v>408</v>
      </c>
      <c r="E870" s="124"/>
      <c r="F870" s="154">
        <f aca="true" t="shared" si="111" ref="F870:H871">F871</f>
        <v>0</v>
      </c>
      <c r="G870" s="154">
        <f t="shared" si="111"/>
        <v>5240</v>
      </c>
      <c r="H870" s="154">
        <f t="shared" si="111"/>
        <v>4950.6</v>
      </c>
      <c r="I870" s="121">
        <v>0</v>
      </c>
      <c r="J870" s="121">
        <f t="shared" si="107"/>
        <v>94.47709923664122</v>
      </c>
    </row>
    <row r="871" spans="1:10" ht="24">
      <c r="A871" s="130" t="s">
        <v>1705</v>
      </c>
      <c r="B871" s="124" t="s">
        <v>1624</v>
      </c>
      <c r="C871" s="124" t="s">
        <v>1627</v>
      </c>
      <c r="D871" s="124" t="s">
        <v>408</v>
      </c>
      <c r="E871" s="124" t="s">
        <v>1706</v>
      </c>
      <c r="F871" s="154">
        <f t="shared" si="111"/>
        <v>0</v>
      </c>
      <c r="G871" s="154">
        <f t="shared" si="111"/>
        <v>5240</v>
      </c>
      <c r="H871" s="154">
        <f t="shared" si="111"/>
        <v>4950.6</v>
      </c>
      <c r="I871" s="121">
        <v>0</v>
      </c>
      <c r="J871" s="121">
        <f t="shared" si="107"/>
        <v>94.47709923664122</v>
      </c>
    </row>
    <row r="872" spans="1:10" ht="24">
      <c r="A872" s="129" t="s">
        <v>562</v>
      </c>
      <c r="B872" s="124" t="s">
        <v>1624</v>
      </c>
      <c r="C872" s="124" t="s">
        <v>1627</v>
      </c>
      <c r="D872" s="124" t="s">
        <v>408</v>
      </c>
      <c r="E872" s="124" t="s">
        <v>745</v>
      </c>
      <c r="F872" s="135">
        <v>0</v>
      </c>
      <c r="G872" s="135">
        <f>5640-400</f>
        <v>5240</v>
      </c>
      <c r="H872" s="135">
        <v>4950.6</v>
      </c>
      <c r="I872" s="121">
        <v>0</v>
      </c>
      <c r="J872" s="121">
        <f t="shared" si="107"/>
        <v>94.47709923664122</v>
      </c>
    </row>
    <row r="873" spans="1:10" ht="60">
      <c r="A873" s="130" t="s">
        <v>489</v>
      </c>
      <c r="B873" s="124" t="s">
        <v>1624</v>
      </c>
      <c r="C873" s="124" t="s">
        <v>1627</v>
      </c>
      <c r="D873" s="124" t="s">
        <v>731</v>
      </c>
      <c r="E873" s="124"/>
      <c r="F873" s="132">
        <f>F874+F876</f>
        <v>22266</v>
      </c>
      <c r="G873" s="132">
        <f>G874+G876</f>
        <v>31017</v>
      </c>
      <c r="H873" s="132">
        <f>H874+H876</f>
        <v>28761.7</v>
      </c>
      <c r="I873" s="121">
        <f t="shared" si="106"/>
        <v>129.17317883768976</v>
      </c>
      <c r="J873" s="121">
        <f t="shared" si="107"/>
        <v>92.72882612760745</v>
      </c>
    </row>
    <row r="874" spans="1:10" ht="24">
      <c r="A874" s="134" t="s">
        <v>782</v>
      </c>
      <c r="B874" s="124" t="s">
        <v>1624</v>
      </c>
      <c r="C874" s="124" t="s">
        <v>1627</v>
      </c>
      <c r="D874" s="124" t="s">
        <v>731</v>
      </c>
      <c r="E874" s="124" t="s">
        <v>1704</v>
      </c>
      <c r="F874" s="132">
        <f>F875</f>
        <v>165.8</v>
      </c>
      <c r="G874" s="132">
        <f>G875</f>
        <v>230.9</v>
      </c>
      <c r="H874" s="132">
        <f>H875</f>
        <v>214.4</v>
      </c>
      <c r="I874" s="121">
        <f t="shared" si="106"/>
        <v>129.3124246079614</v>
      </c>
      <c r="J874" s="121">
        <f t="shared" si="107"/>
        <v>92.85404937202252</v>
      </c>
    </row>
    <row r="875" spans="1:10" ht="36">
      <c r="A875" s="134" t="s">
        <v>1718</v>
      </c>
      <c r="B875" s="124" t="s">
        <v>1624</v>
      </c>
      <c r="C875" s="124" t="s">
        <v>1627</v>
      </c>
      <c r="D875" s="124" t="s">
        <v>731</v>
      </c>
      <c r="E875" s="124" t="s">
        <v>1619</v>
      </c>
      <c r="F875" s="135">
        <v>165.8</v>
      </c>
      <c r="G875" s="135">
        <v>230.9</v>
      </c>
      <c r="H875" s="135">
        <v>214.4</v>
      </c>
      <c r="I875" s="121">
        <f t="shared" si="106"/>
        <v>129.3124246079614</v>
      </c>
      <c r="J875" s="121">
        <f t="shared" si="107"/>
        <v>92.85404937202252</v>
      </c>
    </row>
    <row r="876" spans="1:10" ht="24">
      <c r="A876" s="130" t="s">
        <v>1705</v>
      </c>
      <c r="B876" s="124" t="s">
        <v>1624</v>
      </c>
      <c r="C876" s="124" t="s">
        <v>1627</v>
      </c>
      <c r="D876" s="124" t="s">
        <v>731</v>
      </c>
      <c r="E876" s="124" t="s">
        <v>1706</v>
      </c>
      <c r="F876" s="132">
        <f>F877</f>
        <v>22100.2</v>
      </c>
      <c r="G876" s="132">
        <f>G877</f>
        <v>30786.1</v>
      </c>
      <c r="H876" s="132">
        <f>H877</f>
        <v>28547.3</v>
      </c>
      <c r="I876" s="121">
        <f t="shared" si="106"/>
        <v>129.17213418883085</v>
      </c>
      <c r="J876" s="121">
        <f t="shared" si="107"/>
        <v>92.72788693598734</v>
      </c>
    </row>
    <row r="877" spans="1:10" ht="24">
      <c r="A877" s="129" t="s">
        <v>977</v>
      </c>
      <c r="B877" s="124" t="s">
        <v>1624</v>
      </c>
      <c r="C877" s="124" t="s">
        <v>1627</v>
      </c>
      <c r="D877" s="124" t="s">
        <v>731</v>
      </c>
      <c r="E877" s="124" t="s">
        <v>846</v>
      </c>
      <c r="F877" s="135">
        <v>22100.2</v>
      </c>
      <c r="G877" s="135">
        <v>30786.1</v>
      </c>
      <c r="H877" s="135">
        <v>28547.3</v>
      </c>
      <c r="I877" s="121">
        <f t="shared" si="106"/>
        <v>129.17213418883085</v>
      </c>
      <c r="J877" s="121">
        <f t="shared" si="107"/>
        <v>92.72788693598734</v>
      </c>
    </row>
    <row r="878" spans="1:10" ht="24">
      <c r="A878" s="129" t="s">
        <v>685</v>
      </c>
      <c r="B878" s="124" t="s">
        <v>1624</v>
      </c>
      <c r="C878" s="124" t="s">
        <v>1627</v>
      </c>
      <c r="D878" s="124" t="s">
        <v>1485</v>
      </c>
      <c r="E878" s="124"/>
      <c r="F878" s="132">
        <f aca="true" t="shared" si="112" ref="F878:H880">F879</f>
        <v>500</v>
      </c>
      <c r="G878" s="132">
        <f t="shared" si="112"/>
        <v>500</v>
      </c>
      <c r="H878" s="132">
        <f t="shared" si="112"/>
        <v>449.9</v>
      </c>
      <c r="I878" s="121">
        <f t="shared" si="106"/>
        <v>89.97999999999999</v>
      </c>
      <c r="J878" s="121">
        <f t="shared" si="107"/>
        <v>89.97999999999999</v>
      </c>
    </row>
    <row r="879" spans="1:10" ht="24">
      <c r="A879" s="134" t="s">
        <v>1046</v>
      </c>
      <c r="B879" s="124" t="s">
        <v>1624</v>
      </c>
      <c r="C879" s="124" t="s">
        <v>1627</v>
      </c>
      <c r="D879" s="124" t="s">
        <v>604</v>
      </c>
      <c r="E879" s="124"/>
      <c r="F879" s="132">
        <f t="shared" si="112"/>
        <v>500</v>
      </c>
      <c r="G879" s="132">
        <f t="shared" si="112"/>
        <v>500</v>
      </c>
      <c r="H879" s="132">
        <f t="shared" si="112"/>
        <v>449.9</v>
      </c>
      <c r="I879" s="121">
        <f t="shared" si="106"/>
        <v>89.97999999999999</v>
      </c>
      <c r="J879" s="121">
        <f t="shared" si="107"/>
        <v>89.97999999999999</v>
      </c>
    </row>
    <row r="880" spans="1:10" ht="24">
      <c r="A880" s="174" t="s">
        <v>1705</v>
      </c>
      <c r="B880" s="124" t="s">
        <v>1624</v>
      </c>
      <c r="C880" s="124" t="s">
        <v>1627</v>
      </c>
      <c r="D880" s="124" t="s">
        <v>604</v>
      </c>
      <c r="E880" s="124" t="s">
        <v>1706</v>
      </c>
      <c r="F880" s="132">
        <f t="shared" si="112"/>
        <v>500</v>
      </c>
      <c r="G880" s="132">
        <f t="shared" si="112"/>
        <v>500</v>
      </c>
      <c r="H880" s="132">
        <f t="shared" si="112"/>
        <v>449.9</v>
      </c>
      <c r="I880" s="121">
        <f t="shared" si="106"/>
        <v>89.97999999999999</v>
      </c>
      <c r="J880" s="121">
        <f t="shared" si="107"/>
        <v>89.97999999999999</v>
      </c>
    </row>
    <row r="881" spans="1:10" ht="24">
      <c r="A881" s="129" t="s">
        <v>977</v>
      </c>
      <c r="B881" s="124" t="s">
        <v>1624</v>
      </c>
      <c r="C881" s="124" t="s">
        <v>1627</v>
      </c>
      <c r="D881" s="124" t="s">
        <v>604</v>
      </c>
      <c r="E881" s="124" t="s">
        <v>846</v>
      </c>
      <c r="F881" s="135">
        <v>500</v>
      </c>
      <c r="G881" s="135">
        <v>500</v>
      </c>
      <c r="H881" s="135">
        <v>449.9</v>
      </c>
      <c r="I881" s="121">
        <f t="shared" si="106"/>
        <v>89.97999999999999</v>
      </c>
      <c r="J881" s="121">
        <f t="shared" si="107"/>
        <v>89.97999999999999</v>
      </c>
    </row>
    <row r="882" spans="1:10" ht="36">
      <c r="A882" s="134" t="s">
        <v>605</v>
      </c>
      <c r="B882" s="124" t="s">
        <v>1624</v>
      </c>
      <c r="C882" s="124" t="s">
        <v>1627</v>
      </c>
      <c r="D882" s="124" t="s">
        <v>624</v>
      </c>
      <c r="E882" s="124"/>
      <c r="F882" s="132">
        <f>F883+F886+F889+F894</f>
        <v>44993</v>
      </c>
      <c r="G882" s="132">
        <f>G883+G886+G889+G894</f>
        <v>40103</v>
      </c>
      <c r="H882" s="132">
        <f>H883+H886+H889+H894</f>
        <v>37041.8</v>
      </c>
      <c r="I882" s="121">
        <f t="shared" si="106"/>
        <v>82.32791767608295</v>
      </c>
      <c r="J882" s="121">
        <f t="shared" si="107"/>
        <v>92.36665586115753</v>
      </c>
    </row>
    <row r="883" spans="1:10" ht="24">
      <c r="A883" s="152" t="s">
        <v>1034</v>
      </c>
      <c r="B883" s="124" t="s">
        <v>1624</v>
      </c>
      <c r="C883" s="124" t="s">
        <v>1627</v>
      </c>
      <c r="D883" s="124" t="s">
        <v>607</v>
      </c>
      <c r="E883" s="124"/>
      <c r="F883" s="132">
        <f aca="true" t="shared" si="113" ref="F883:H884">F884</f>
        <v>5640</v>
      </c>
      <c r="G883" s="132">
        <f t="shared" si="113"/>
        <v>0</v>
      </c>
      <c r="H883" s="132">
        <f t="shared" si="113"/>
        <v>0</v>
      </c>
      <c r="I883" s="121">
        <f t="shared" si="106"/>
        <v>0</v>
      </c>
      <c r="J883" s="121">
        <v>0</v>
      </c>
    </row>
    <row r="884" spans="1:10" ht="24">
      <c r="A884" s="130" t="s">
        <v>1705</v>
      </c>
      <c r="B884" s="124" t="s">
        <v>1624</v>
      </c>
      <c r="C884" s="124" t="s">
        <v>1627</v>
      </c>
      <c r="D884" s="124" t="s">
        <v>607</v>
      </c>
      <c r="E884" s="124" t="s">
        <v>1706</v>
      </c>
      <c r="F884" s="132">
        <f t="shared" si="113"/>
        <v>5640</v>
      </c>
      <c r="G884" s="132">
        <f t="shared" si="113"/>
        <v>0</v>
      </c>
      <c r="H884" s="132">
        <f t="shared" si="113"/>
        <v>0</v>
      </c>
      <c r="I884" s="121">
        <f t="shared" si="106"/>
        <v>0</v>
      </c>
      <c r="J884" s="121">
        <v>0</v>
      </c>
    </row>
    <row r="885" spans="1:10" ht="24">
      <c r="A885" s="129" t="s">
        <v>562</v>
      </c>
      <c r="B885" s="124" t="s">
        <v>1624</v>
      </c>
      <c r="C885" s="124" t="s">
        <v>1627</v>
      </c>
      <c r="D885" s="124" t="s">
        <v>607</v>
      </c>
      <c r="E885" s="124" t="s">
        <v>745</v>
      </c>
      <c r="F885" s="135">
        <f>5640</f>
        <v>5640</v>
      </c>
      <c r="G885" s="135">
        <f>5640-5640</f>
        <v>0</v>
      </c>
      <c r="H885" s="135">
        <f>5640-5640</f>
        <v>0</v>
      </c>
      <c r="I885" s="121">
        <f t="shared" si="106"/>
        <v>0</v>
      </c>
      <c r="J885" s="121">
        <v>0</v>
      </c>
    </row>
    <row r="886" spans="1:10" ht="36">
      <c r="A886" s="134" t="s">
        <v>1032</v>
      </c>
      <c r="B886" s="124" t="s">
        <v>1624</v>
      </c>
      <c r="C886" s="124" t="s">
        <v>1627</v>
      </c>
      <c r="D886" s="124" t="s">
        <v>608</v>
      </c>
      <c r="E886" s="124"/>
      <c r="F886" s="132">
        <f aca="true" t="shared" si="114" ref="F886:H887">F887</f>
        <v>1861</v>
      </c>
      <c r="G886" s="132">
        <f t="shared" si="114"/>
        <v>2166</v>
      </c>
      <c r="H886" s="132">
        <f t="shared" si="114"/>
        <v>2165.5</v>
      </c>
      <c r="I886" s="121">
        <f t="shared" si="106"/>
        <v>116.36217087587319</v>
      </c>
      <c r="J886" s="121">
        <f t="shared" si="107"/>
        <v>99.97691597414588</v>
      </c>
    </row>
    <row r="887" spans="1:10" ht="24">
      <c r="A887" s="130" t="s">
        <v>1705</v>
      </c>
      <c r="B887" s="124" t="s">
        <v>1624</v>
      </c>
      <c r="C887" s="124" t="s">
        <v>1627</v>
      </c>
      <c r="D887" s="124" t="s">
        <v>608</v>
      </c>
      <c r="E887" s="124" t="s">
        <v>1706</v>
      </c>
      <c r="F887" s="132">
        <f t="shared" si="114"/>
        <v>1861</v>
      </c>
      <c r="G887" s="132">
        <f t="shared" si="114"/>
        <v>2166</v>
      </c>
      <c r="H887" s="132">
        <f t="shared" si="114"/>
        <v>2165.5</v>
      </c>
      <c r="I887" s="121">
        <f t="shared" si="106"/>
        <v>116.36217087587319</v>
      </c>
      <c r="J887" s="121">
        <f t="shared" si="107"/>
        <v>99.97691597414588</v>
      </c>
    </row>
    <row r="888" spans="1:10" ht="24">
      <c r="A888" s="129" t="s">
        <v>562</v>
      </c>
      <c r="B888" s="124" t="s">
        <v>1624</v>
      </c>
      <c r="C888" s="124" t="s">
        <v>1627</v>
      </c>
      <c r="D888" s="124" t="s">
        <v>608</v>
      </c>
      <c r="E888" s="124" t="s">
        <v>745</v>
      </c>
      <c r="F888" s="135">
        <f>1861</f>
        <v>1861</v>
      </c>
      <c r="G888" s="135">
        <f>1861+305</f>
        <v>2166</v>
      </c>
      <c r="H888" s="135">
        <v>2165.5</v>
      </c>
      <c r="I888" s="121">
        <f t="shared" si="106"/>
        <v>116.36217087587319</v>
      </c>
      <c r="J888" s="121">
        <f t="shared" si="107"/>
        <v>99.97691597414588</v>
      </c>
    </row>
    <row r="889" spans="1:10" ht="36">
      <c r="A889" s="134" t="s">
        <v>1032</v>
      </c>
      <c r="B889" s="124" t="s">
        <v>1624</v>
      </c>
      <c r="C889" s="124" t="s">
        <v>1627</v>
      </c>
      <c r="D889" s="124" t="s">
        <v>609</v>
      </c>
      <c r="E889" s="124"/>
      <c r="F889" s="132">
        <f>F890+F892</f>
        <v>10501</v>
      </c>
      <c r="G889" s="132">
        <f>G890+G892</f>
        <v>10196</v>
      </c>
      <c r="H889" s="132">
        <f>H890+H892</f>
        <v>10094</v>
      </c>
      <c r="I889" s="121">
        <f t="shared" si="106"/>
        <v>96.1241786496524</v>
      </c>
      <c r="J889" s="121">
        <f t="shared" si="107"/>
        <v>98.99960768928992</v>
      </c>
    </row>
    <row r="890" spans="1:10" ht="24">
      <c r="A890" s="134" t="s">
        <v>782</v>
      </c>
      <c r="B890" s="124" t="s">
        <v>1624</v>
      </c>
      <c r="C890" s="124" t="s">
        <v>1627</v>
      </c>
      <c r="D890" s="124" t="s">
        <v>609</v>
      </c>
      <c r="E890" s="124" t="s">
        <v>1704</v>
      </c>
      <c r="F890" s="132">
        <f>F891</f>
        <v>78.2</v>
      </c>
      <c r="G890" s="132">
        <f>G891</f>
        <v>0</v>
      </c>
      <c r="H890" s="132">
        <f>H891</f>
        <v>0</v>
      </c>
      <c r="I890" s="121">
        <f t="shared" si="106"/>
        <v>0</v>
      </c>
      <c r="J890" s="121">
        <v>0</v>
      </c>
    </row>
    <row r="891" spans="1:10" ht="36">
      <c r="A891" s="134" t="s">
        <v>1718</v>
      </c>
      <c r="B891" s="124" t="s">
        <v>1624</v>
      </c>
      <c r="C891" s="124" t="s">
        <v>1627</v>
      </c>
      <c r="D891" s="124" t="s">
        <v>609</v>
      </c>
      <c r="E891" s="124" t="s">
        <v>1619</v>
      </c>
      <c r="F891" s="135">
        <f>78.2</f>
        <v>78.2</v>
      </c>
      <c r="G891" s="135">
        <f>78.2-78.2</f>
        <v>0</v>
      </c>
      <c r="H891" s="135">
        <f>78.2-78.2</f>
        <v>0</v>
      </c>
      <c r="I891" s="121">
        <f t="shared" si="106"/>
        <v>0</v>
      </c>
      <c r="J891" s="121">
        <v>0</v>
      </c>
    </row>
    <row r="892" spans="1:10" ht="24">
      <c r="A892" s="130" t="s">
        <v>1705</v>
      </c>
      <c r="B892" s="124" t="s">
        <v>1624</v>
      </c>
      <c r="C892" s="124" t="s">
        <v>1627</v>
      </c>
      <c r="D892" s="124" t="s">
        <v>609</v>
      </c>
      <c r="E892" s="124" t="s">
        <v>1706</v>
      </c>
      <c r="F892" s="132">
        <f>F893</f>
        <v>10422.8</v>
      </c>
      <c r="G892" s="132">
        <f>G893</f>
        <v>10196</v>
      </c>
      <c r="H892" s="132">
        <f>H893</f>
        <v>10094</v>
      </c>
      <c r="I892" s="121">
        <f t="shared" si="106"/>
        <v>96.8453774417623</v>
      </c>
      <c r="J892" s="121">
        <f t="shared" si="107"/>
        <v>98.99960768928992</v>
      </c>
    </row>
    <row r="893" spans="1:10" ht="24">
      <c r="A893" s="129" t="s">
        <v>562</v>
      </c>
      <c r="B893" s="124" t="s">
        <v>1624</v>
      </c>
      <c r="C893" s="124" t="s">
        <v>1627</v>
      </c>
      <c r="D893" s="124" t="s">
        <v>609</v>
      </c>
      <c r="E893" s="124" t="s">
        <v>745</v>
      </c>
      <c r="F893" s="135">
        <f>10501-78.2</f>
        <v>10422.8</v>
      </c>
      <c r="G893" s="135">
        <f>10501-78.2-226.8</f>
        <v>10196</v>
      </c>
      <c r="H893" s="135">
        <v>10094</v>
      </c>
      <c r="I893" s="121">
        <f t="shared" si="106"/>
        <v>96.8453774417623</v>
      </c>
      <c r="J893" s="121">
        <f t="shared" si="107"/>
        <v>98.99960768928992</v>
      </c>
    </row>
    <row r="894" spans="1:10" ht="36">
      <c r="A894" s="129" t="s">
        <v>811</v>
      </c>
      <c r="B894" s="124" t="s">
        <v>1624</v>
      </c>
      <c r="C894" s="124" t="s">
        <v>1627</v>
      </c>
      <c r="D894" s="124" t="s">
        <v>810</v>
      </c>
      <c r="E894" s="124"/>
      <c r="F894" s="132">
        <f aca="true" t="shared" si="115" ref="F894:H895">F895</f>
        <v>26991</v>
      </c>
      <c r="G894" s="132">
        <f t="shared" si="115"/>
        <v>27741</v>
      </c>
      <c r="H894" s="132">
        <f t="shared" si="115"/>
        <v>24782.3</v>
      </c>
      <c r="I894" s="121">
        <f t="shared" si="106"/>
        <v>91.81690193027305</v>
      </c>
      <c r="J894" s="121">
        <f t="shared" si="107"/>
        <v>89.33455895605782</v>
      </c>
    </row>
    <row r="895" spans="1:10" ht="24">
      <c r="A895" s="174" t="s">
        <v>1705</v>
      </c>
      <c r="B895" s="124" t="s">
        <v>1624</v>
      </c>
      <c r="C895" s="124" t="s">
        <v>1627</v>
      </c>
      <c r="D895" s="124" t="s">
        <v>810</v>
      </c>
      <c r="E895" s="124" t="s">
        <v>1706</v>
      </c>
      <c r="F895" s="132">
        <f t="shared" si="115"/>
        <v>26991</v>
      </c>
      <c r="G895" s="132">
        <f t="shared" si="115"/>
        <v>27741</v>
      </c>
      <c r="H895" s="132">
        <f t="shared" si="115"/>
        <v>24782.3</v>
      </c>
      <c r="I895" s="121">
        <f t="shared" si="106"/>
        <v>91.81690193027305</v>
      </c>
      <c r="J895" s="121">
        <f t="shared" si="107"/>
        <v>89.33455895605782</v>
      </c>
    </row>
    <row r="896" spans="1:10" ht="24">
      <c r="A896" s="129" t="s">
        <v>977</v>
      </c>
      <c r="B896" s="124" t="s">
        <v>1624</v>
      </c>
      <c r="C896" s="124" t="s">
        <v>1627</v>
      </c>
      <c r="D896" s="124" t="s">
        <v>810</v>
      </c>
      <c r="E896" s="124" t="s">
        <v>846</v>
      </c>
      <c r="F896" s="135">
        <f>26991</f>
        <v>26991</v>
      </c>
      <c r="G896" s="135">
        <f>26991+750</f>
        <v>27741</v>
      </c>
      <c r="H896" s="135">
        <v>24782.3</v>
      </c>
      <c r="I896" s="121">
        <f t="shared" si="106"/>
        <v>91.81690193027305</v>
      </c>
      <c r="J896" s="121">
        <f t="shared" si="107"/>
        <v>89.33455895605782</v>
      </c>
    </row>
    <row r="897" spans="1:10" ht="36">
      <c r="A897" s="141" t="s">
        <v>553</v>
      </c>
      <c r="B897" s="124" t="s">
        <v>1624</v>
      </c>
      <c r="C897" s="124" t="s">
        <v>1627</v>
      </c>
      <c r="D897" s="124" t="s">
        <v>1035</v>
      </c>
      <c r="E897" s="124"/>
      <c r="F897" s="128">
        <f>F898+F908+F912+F925+F932</f>
        <v>7186.2</v>
      </c>
      <c r="G897" s="128">
        <f>G898+G908+G912+G925+G932</f>
        <v>36919.1</v>
      </c>
      <c r="H897" s="128">
        <f>H898+H908+H912+H925+H932</f>
        <v>36049.9</v>
      </c>
      <c r="I897" s="121">
        <f t="shared" si="106"/>
        <v>501.6545601291364</v>
      </c>
      <c r="J897" s="121">
        <f t="shared" si="107"/>
        <v>97.64566308496146</v>
      </c>
    </row>
    <row r="898" spans="1:10" ht="36">
      <c r="A898" s="129" t="s">
        <v>554</v>
      </c>
      <c r="B898" s="124" t="s">
        <v>1624</v>
      </c>
      <c r="C898" s="124" t="s">
        <v>1627</v>
      </c>
      <c r="D898" s="124" t="s">
        <v>545</v>
      </c>
      <c r="E898" s="124"/>
      <c r="F898" s="128">
        <f>F899+F902+F905</f>
        <v>3059.1</v>
      </c>
      <c r="G898" s="128">
        <f>G899+G902+G905</f>
        <v>4875.1</v>
      </c>
      <c r="H898" s="128">
        <f>H899+H902+H905</f>
        <v>4518</v>
      </c>
      <c r="I898" s="121">
        <f t="shared" si="106"/>
        <v>147.69049720506032</v>
      </c>
      <c r="J898" s="121">
        <f t="shared" si="107"/>
        <v>92.67502205082972</v>
      </c>
    </row>
    <row r="899" spans="1:10" ht="24">
      <c r="A899" s="129" t="s">
        <v>25</v>
      </c>
      <c r="B899" s="124" t="s">
        <v>1624</v>
      </c>
      <c r="C899" s="124" t="s">
        <v>1627</v>
      </c>
      <c r="D899" s="124" t="s">
        <v>610</v>
      </c>
      <c r="E899" s="124"/>
      <c r="F899" s="128">
        <f aca="true" t="shared" si="116" ref="F899:H900">F900</f>
        <v>3059.1</v>
      </c>
      <c r="G899" s="128">
        <f t="shared" si="116"/>
        <v>2059.1</v>
      </c>
      <c r="H899" s="128">
        <f t="shared" si="116"/>
        <v>1703.1</v>
      </c>
      <c r="I899" s="121">
        <f t="shared" si="106"/>
        <v>55.67323722663529</v>
      </c>
      <c r="J899" s="121">
        <f t="shared" si="107"/>
        <v>82.7108931086397</v>
      </c>
    </row>
    <row r="900" spans="1:10" ht="24">
      <c r="A900" s="130" t="s">
        <v>1705</v>
      </c>
      <c r="B900" s="124" t="s">
        <v>1624</v>
      </c>
      <c r="C900" s="124" t="s">
        <v>1627</v>
      </c>
      <c r="D900" s="124" t="s">
        <v>610</v>
      </c>
      <c r="E900" s="124" t="s">
        <v>1706</v>
      </c>
      <c r="F900" s="128">
        <f t="shared" si="116"/>
        <v>3059.1</v>
      </c>
      <c r="G900" s="128">
        <f t="shared" si="116"/>
        <v>2059.1</v>
      </c>
      <c r="H900" s="128">
        <f t="shared" si="116"/>
        <v>1703.1</v>
      </c>
      <c r="I900" s="121">
        <f t="shared" si="106"/>
        <v>55.67323722663529</v>
      </c>
      <c r="J900" s="121">
        <f t="shared" si="107"/>
        <v>82.7108931086397</v>
      </c>
    </row>
    <row r="901" spans="1:10" ht="24">
      <c r="A901" s="134" t="s">
        <v>977</v>
      </c>
      <c r="B901" s="124" t="s">
        <v>1624</v>
      </c>
      <c r="C901" s="124" t="s">
        <v>1627</v>
      </c>
      <c r="D901" s="124" t="s">
        <v>610</v>
      </c>
      <c r="E901" s="124" t="s">
        <v>846</v>
      </c>
      <c r="F901" s="131">
        <f>3059.1</f>
        <v>3059.1</v>
      </c>
      <c r="G901" s="131">
        <f>3059.1-1000</f>
        <v>2059.1</v>
      </c>
      <c r="H901" s="131">
        <v>1703.1</v>
      </c>
      <c r="I901" s="121">
        <f t="shared" si="106"/>
        <v>55.67323722663529</v>
      </c>
      <c r="J901" s="121">
        <f t="shared" si="107"/>
        <v>82.7108931086397</v>
      </c>
    </row>
    <row r="902" spans="1:10" ht="72">
      <c r="A902" s="134" t="s">
        <v>1021</v>
      </c>
      <c r="B902" s="124" t="s">
        <v>1624</v>
      </c>
      <c r="C902" s="124" t="s">
        <v>1627</v>
      </c>
      <c r="D902" s="124" t="s">
        <v>1022</v>
      </c>
      <c r="E902" s="124"/>
      <c r="F902" s="128">
        <f aca="true" t="shared" si="117" ref="F902:H903">F903</f>
        <v>0</v>
      </c>
      <c r="G902" s="128">
        <f t="shared" si="117"/>
        <v>1112</v>
      </c>
      <c r="H902" s="128">
        <f t="shared" si="117"/>
        <v>1111.9</v>
      </c>
      <c r="I902" s="121">
        <v>0</v>
      </c>
      <c r="J902" s="121">
        <f t="shared" si="107"/>
        <v>99.9910071942446</v>
      </c>
    </row>
    <row r="903" spans="1:10" ht="24">
      <c r="A903" s="130" t="s">
        <v>1705</v>
      </c>
      <c r="B903" s="124" t="s">
        <v>1624</v>
      </c>
      <c r="C903" s="124" t="s">
        <v>1627</v>
      </c>
      <c r="D903" s="124" t="s">
        <v>1022</v>
      </c>
      <c r="E903" s="124" t="s">
        <v>1706</v>
      </c>
      <c r="F903" s="128">
        <f t="shared" si="117"/>
        <v>0</v>
      </c>
      <c r="G903" s="128">
        <f t="shared" si="117"/>
        <v>1112</v>
      </c>
      <c r="H903" s="128">
        <f t="shared" si="117"/>
        <v>1111.9</v>
      </c>
      <c r="I903" s="121">
        <v>0</v>
      </c>
      <c r="J903" s="121">
        <f t="shared" si="107"/>
        <v>99.9910071942446</v>
      </c>
    </row>
    <row r="904" spans="1:10" ht="24">
      <c r="A904" s="134" t="s">
        <v>977</v>
      </c>
      <c r="B904" s="124" t="s">
        <v>1624</v>
      </c>
      <c r="C904" s="124" t="s">
        <v>1627</v>
      </c>
      <c r="D904" s="124" t="s">
        <v>1022</v>
      </c>
      <c r="E904" s="124" t="s">
        <v>846</v>
      </c>
      <c r="F904" s="131">
        <v>0</v>
      </c>
      <c r="G904" s="131">
        <v>1112</v>
      </c>
      <c r="H904" s="131">
        <v>1111.9</v>
      </c>
      <c r="I904" s="121">
        <v>0</v>
      </c>
      <c r="J904" s="121">
        <f t="shared" si="107"/>
        <v>99.9910071942446</v>
      </c>
    </row>
    <row r="905" spans="1:10" ht="72">
      <c r="A905" s="134" t="s">
        <v>1023</v>
      </c>
      <c r="B905" s="124" t="s">
        <v>1624</v>
      </c>
      <c r="C905" s="124" t="s">
        <v>1627</v>
      </c>
      <c r="D905" s="124" t="s">
        <v>1024</v>
      </c>
      <c r="E905" s="124"/>
      <c r="F905" s="128">
        <f aca="true" t="shared" si="118" ref="F905:H906">F906</f>
        <v>0</v>
      </c>
      <c r="G905" s="128">
        <f t="shared" si="118"/>
        <v>1704</v>
      </c>
      <c r="H905" s="128">
        <f t="shared" si="118"/>
        <v>1703</v>
      </c>
      <c r="I905" s="121">
        <v>0</v>
      </c>
      <c r="J905" s="121">
        <f t="shared" si="107"/>
        <v>99.94131455399061</v>
      </c>
    </row>
    <row r="906" spans="1:10" ht="24">
      <c r="A906" s="130" t="s">
        <v>1705</v>
      </c>
      <c r="B906" s="124" t="s">
        <v>1624</v>
      </c>
      <c r="C906" s="124" t="s">
        <v>1627</v>
      </c>
      <c r="D906" s="124" t="s">
        <v>1024</v>
      </c>
      <c r="E906" s="124" t="s">
        <v>1706</v>
      </c>
      <c r="F906" s="128">
        <f t="shared" si="118"/>
        <v>0</v>
      </c>
      <c r="G906" s="128">
        <f t="shared" si="118"/>
        <v>1704</v>
      </c>
      <c r="H906" s="128">
        <f t="shared" si="118"/>
        <v>1703</v>
      </c>
      <c r="I906" s="121">
        <v>0</v>
      </c>
      <c r="J906" s="121">
        <f t="shared" si="107"/>
        <v>99.94131455399061</v>
      </c>
    </row>
    <row r="907" spans="1:10" ht="24">
      <c r="A907" s="134" t="s">
        <v>977</v>
      </c>
      <c r="B907" s="124" t="s">
        <v>1624</v>
      </c>
      <c r="C907" s="124" t="s">
        <v>1627</v>
      </c>
      <c r="D907" s="124" t="s">
        <v>1024</v>
      </c>
      <c r="E907" s="124" t="s">
        <v>846</v>
      </c>
      <c r="F907" s="131">
        <v>0</v>
      </c>
      <c r="G907" s="131">
        <v>1704</v>
      </c>
      <c r="H907" s="131">
        <v>1703</v>
      </c>
      <c r="I907" s="121">
        <v>0</v>
      </c>
      <c r="J907" s="121">
        <f t="shared" si="107"/>
        <v>99.94131455399061</v>
      </c>
    </row>
    <row r="908" spans="1:10" ht="60">
      <c r="A908" s="134" t="s">
        <v>1672</v>
      </c>
      <c r="B908" s="124" t="s">
        <v>1624</v>
      </c>
      <c r="C908" s="124" t="s">
        <v>1627</v>
      </c>
      <c r="D908" s="124" t="s">
        <v>1036</v>
      </c>
      <c r="E908" s="124"/>
      <c r="F908" s="132">
        <f aca="true" t="shared" si="119" ref="F908:H909">F909</f>
        <v>1208.3</v>
      </c>
      <c r="G908" s="132">
        <f t="shared" si="119"/>
        <v>0</v>
      </c>
      <c r="H908" s="132">
        <f t="shared" si="119"/>
        <v>0</v>
      </c>
      <c r="I908" s="121">
        <f t="shared" si="106"/>
        <v>0</v>
      </c>
      <c r="J908" s="121">
        <v>0</v>
      </c>
    </row>
    <row r="909" spans="1:10" ht="24">
      <c r="A909" s="134" t="s">
        <v>26</v>
      </c>
      <c r="B909" s="124" t="s">
        <v>1624</v>
      </c>
      <c r="C909" s="124" t="s">
        <v>1627</v>
      </c>
      <c r="D909" s="124" t="s">
        <v>611</v>
      </c>
      <c r="E909" s="124"/>
      <c r="F909" s="132">
        <f t="shared" si="119"/>
        <v>1208.3</v>
      </c>
      <c r="G909" s="132">
        <f t="shared" si="119"/>
        <v>0</v>
      </c>
      <c r="H909" s="132">
        <f t="shared" si="119"/>
        <v>0</v>
      </c>
      <c r="I909" s="121">
        <f t="shared" si="106"/>
        <v>0</v>
      </c>
      <c r="J909" s="121">
        <v>0</v>
      </c>
    </row>
    <row r="910" spans="1:10" ht="24">
      <c r="A910" s="176" t="s">
        <v>1705</v>
      </c>
      <c r="B910" s="124" t="s">
        <v>1624</v>
      </c>
      <c r="C910" s="124" t="s">
        <v>1627</v>
      </c>
      <c r="D910" s="124" t="s">
        <v>611</v>
      </c>
      <c r="E910" s="124" t="s">
        <v>1706</v>
      </c>
      <c r="F910" s="132">
        <f>F911</f>
        <v>1208.3</v>
      </c>
      <c r="G910" s="132">
        <f>G911</f>
        <v>0</v>
      </c>
      <c r="H910" s="132">
        <f>H911</f>
        <v>0</v>
      </c>
      <c r="I910" s="121">
        <f t="shared" si="106"/>
        <v>0</v>
      </c>
      <c r="J910" s="121">
        <v>0</v>
      </c>
    </row>
    <row r="911" spans="1:10" ht="24">
      <c r="A911" s="129" t="s">
        <v>977</v>
      </c>
      <c r="B911" s="124" t="s">
        <v>1624</v>
      </c>
      <c r="C911" s="124" t="s">
        <v>1627</v>
      </c>
      <c r="D911" s="124" t="s">
        <v>611</v>
      </c>
      <c r="E911" s="124" t="s">
        <v>846</v>
      </c>
      <c r="F911" s="135">
        <f>1208.3</f>
        <v>1208.3</v>
      </c>
      <c r="G911" s="135">
        <f>1208.3-505.7-702.6</f>
        <v>0</v>
      </c>
      <c r="H911" s="135">
        <f>1208.3-505.7-702.6</f>
        <v>0</v>
      </c>
      <c r="I911" s="121">
        <f t="shared" si="106"/>
        <v>0</v>
      </c>
      <c r="J911" s="121">
        <v>0</v>
      </c>
    </row>
    <row r="912" spans="1:10" ht="36">
      <c r="A912" s="129" t="s">
        <v>1673</v>
      </c>
      <c r="B912" s="124" t="s">
        <v>1624</v>
      </c>
      <c r="C912" s="124" t="s">
        <v>1627</v>
      </c>
      <c r="D912" s="124" t="s">
        <v>1037</v>
      </c>
      <c r="E912" s="124"/>
      <c r="F912" s="135">
        <f>F913+F916+F922+F919</f>
        <v>2760.7</v>
      </c>
      <c r="G912" s="135">
        <f>G913+G916+G922+G919</f>
        <v>15668.9</v>
      </c>
      <c r="H912" s="135">
        <f>H913+H916+H922+H919</f>
        <v>15668</v>
      </c>
      <c r="I912" s="121">
        <f aca="true" t="shared" si="120" ref="I912:I975">H912/F912*100</f>
        <v>567.5372188213136</v>
      </c>
      <c r="J912" s="121">
        <f aca="true" t="shared" si="121" ref="J912:J975">H912/G912*100</f>
        <v>99.9942561379548</v>
      </c>
    </row>
    <row r="913" spans="1:10" ht="108">
      <c r="A913" s="177" t="s">
        <v>409</v>
      </c>
      <c r="B913" s="124" t="s">
        <v>1624</v>
      </c>
      <c r="C913" s="124" t="s">
        <v>1627</v>
      </c>
      <c r="D913" s="124" t="s">
        <v>410</v>
      </c>
      <c r="E913" s="124"/>
      <c r="F913" s="154">
        <f aca="true" t="shared" si="122" ref="F913:H914">F914</f>
        <v>0</v>
      </c>
      <c r="G913" s="154">
        <f t="shared" si="122"/>
        <v>3329.4</v>
      </c>
      <c r="H913" s="154">
        <f t="shared" si="122"/>
        <v>3329.4</v>
      </c>
      <c r="I913" s="121">
        <v>0</v>
      </c>
      <c r="J913" s="121">
        <f t="shared" si="121"/>
        <v>100</v>
      </c>
    </row>
    <row r="914" spans="1:10" ht="24">
      <c r="A914" s="176" t="s">
        <v>1705</v>
      </c>
      <c r="B914" s="124" t="s">
        <v>1624</v>
      </c>
      <c r="C914" s="124" t="s">
        <v>1627</v>
      </c>
      <c r="D914" s="124" t="s">
        <v>410</v>
      </c>
      <c r="E914" s="124" t="s">
        <v>1706</v>
      </c>
      <c r="F914" s="154">
        <f t="shared" si="122"/>
        <v>0</v>
      </c>
      <c r="G914" s="154">
        <f t="shared" si="122"/>
        <v>3329.4</v>
      </c>
      <c r="H914" s="154">
        <f t="shared" si="122"/>
        <v>3329.4</v>
      </c>
      <c r="I914" s="121">
        <v>0</v>
      </c>
      <c r="J914" s="121">
        <f t="shared" si="121"/>
        <v>100</v>
      </c>
    </row>
    <row r="915" spans="1:10" ht="24">
      <c r="A915" s="176" t="s">
        <v>977</v>
      </c>
      <c r="B915" s="124" t="s">
        <v>1624</v>
      </c>
      <c r="C915" s="124" t="s">
        <v>1627</v>
      </c>
      <c r="D915" s="124" t="s">
        <v>410</v>
      </c>
      <c r="E915" s="124" t="s">
        <v>846</v>
      </c>
      <c r="F915" s="135">
        <v>0</v>
      </c>
      <c r="G915" s="135">
        <v>3329.4</v>
      </c>
      <c r="H915" s="135">
        <v>3329.4</v>
      </c>
      <c r="I915" s="121">
        <v>0</v>
      </c>
      <c r="J915" s="121">
        <f t="shared" si="121"/>
        <v>100</v>
      </c>
    </row>
    <row r="916" spans="1:10" ht="89.25" customHeight="1">
      <c r="A916" s="177" t="s">
        <v>411</v>
      </c>
      <c r="B916" s="124" t="s">
        <v>1624</v>
      </c>
      <c r="C916" s="124" t="s">
        <v>1627</v>
      </c>
      <c r="D916" s="124" t="s">
        <v>412</v>
      </c>
      <c r="E916" s="124"/>
      <c r="F916" s="132">
        <f aca="true" t="shared" si="123" ref="F916:H917">F917</f>
        <v>0</v>
      </c>
      <c r="G916" s="132">
        <f t="shared" si="123"/>
        <v>0</v>
      </c>
      <c r="H916" s="132">
        <f t="shared" si="123"/>
        <v>0</v>
      </c>
      <c r="I916" s="121">
        <v>0</v>
      </c>
      <c r="J916" s="121">
        <v>0</v>
      </c>
    </row>
    <row r="917" spans="1:10" ht="24">
      <c r="A917" s="176" t="s">
        <v>1705</v>
      </c>
      <c r="B917" s="124" t="s">
        <v>1624</v>
      </c>
      <c r="C917" s="124" t="s">
        <v>1627</v>
      </c>
      <c r="D917" s="124" t="s">
        <v>412</v>
      </c>
      <c r="E917" s="124" t="s">
        <v>1706</v>
      </c>
      <c r="F917" s="132">
        <f t="shared" si="123"/>
        <v>0</v>
      </c>
      <c r="G917" s="132">
        <f t="shared" si="123"/>
        <v>0</v>
      </c>
      <c r="H917" s="132">
        <f t="shared" si="123"/>
        <v>0</v>
      </c>
      <c r="I917" s="121">
        <v>0</v>
      </c>
      <c r="J917" s="121">
        <v>0</v>
      </c>
    </row>
    <row r="918" spans="1:10" ht="24">
      <c r="A918" s="176" t="s">
        <v>977</v>
      </c>
      <c r="B918" s="124" t="s">
        <v>1624</v>
      </c>
      <c r="C918" s="124" t="s">
        <v>1627</v>
      </c>
      <c r="D918" s="124" t="s">
        <v>412</v>
      </c>
      <c r="E918" s="124" t="s">
        <v>846</v>
      </c>
      <c r="F918" s="135">
        <f>3689-3689</f>
        <v>0</v>
      </c>
      <c r="G918" s="135">
        <f>3689-3689</f>
        <v>0</v>
      </c>
      <c r="H918" s="135">
        <f>3689-3689</f>
        <v>0</v>
      </c>
      <c r="I918" s="121">
        <v>0</v>
      </c>
      <c r="J918" s="121">
        <v>0</v>
      </c>
    </row>
    <row r="919" spans="1:10" ht="72">
      <c r="A919" s="134" t="s">
        <v>1401</v>
      </c>
      <c r="B919" s="124" t="s">
        <v>1624</v>
      </c>
      <c r="C919" s="124" t="s">
        <v>1627</v>
      </c>
      <c r="D919" s="124" t="s">
        <v>1402</v>
      </c>
      <c r="E919" s="124"/>
      <c r="F919" s="132">
        <f aca="true" t="shared" si="124" ref="F919:H920">F920</f>
        <v>0</v>
      </c>
      <c r="G919" s="132">
        <f t="shared" si="124"/>
        <v>10495.4</v>
      </c>
      <c r="H919" s="132">
        <f t="shared" si="124"/>
        <v>10494.5</v>
      </c>
      <c r="I919" s="121">
        <v>0</v>
      </c>
      <c r="J919" s="121">
        <f t="shared" si="121"/>
        <v>99.99142481468071</v>
      </c>
    </row>
    <row r="920" spans="1:10" ht="24">
      <c r="A920" s="176" t="s">
        <v>1705</v>
      </c>
      <c r="B920" s="124" t="s">
        <v>1624</v>
      </c>
      <c r="C920" s="124" t="s">
        <v>1627</v>
      </c>
      <c r="D920" s="124" t="s">
        <v>1402</v>
      </c>
      <c r="E920" s="124" t="s">
        <v>1706</v>
      </c>
      <c r="F920" s="132">
        <f t="shared" si="124"/>
        <v>0</v>
      </c>
      <c r="G920" s="132">
        <f t="shared" si="124"/>
        <v>10495.4</v>
      </c>
      <c r="H920" s="132">
        <f t="shared" si="124"/>
        <v>10494.5</v>
      </c>
      <c r="I920" s="121">
        <v>0</v>
      </c>
      <c r="J920" s="121">
        <f t="shared" si="121"/>
        <v>99.99142481468071</v>
      </c>
    </row>
    <row r="921" spans="1:10" ht="24">
      <c r="A921" s="176" t="s">
        <v>977</v>
      </c>
      <c r="B921" s="124" t="s">
        <v>1624</v>
      </c>
      <c r="C921" s="124" t="s">
        <v>1627</v>
      </c>
      <c r="D921" s="124" t="s">
        <v>1402</v>
      </c>
      <c r="E921" s="124" t="s">
        <v>846</v>
      </c>
      <c r="F921" s="135">
        <v>0</v>
      </c>
      <c r="G921" s="135">
        <f>10488.4+7</f>
        <v>10495.4</v>
      </c>
      <c r="H921" s="135">
        <v>10494.5</v>
      </c>
      <c r="I921" s="121">
        <v>0</v>
      </c>
      <c r="J921" s="121">
        <f t="shared" si="121"/>
        <v>99.99142481468071</v>
      </c>
    </row>
    <row r="922" spans="1:10" ht="60">
      <c r="A922" s="134" t="s">
        <v>27</v>
      </c>
      <c r="B922" s="124" t="s">
        <v>1624</v>
      </c>
      <c r="C922" s="124" t="s">
        <v>1627</v>
      </c>
      <c r="D922" s="124" t="s">
        <v>1674</v>
      </c>
      <c r="E922" s="124"/>
      <c r="F922" s="132">
        <f aca="true" t="shared" si="125" ref="F922:H923">F923</f>
        <v>2760.7</v>
      </c>
      <c r="G922" s="132">
        <f t="shared" si="125"/>
        <v>1844.1</v>
      </c>
      <c r="H922" s="132">
        <f t="shared" si="125"/>
        <v>1844.1</v>
      </c>
      <c r="I922" s="121">
        <f t="shared" si="120"/>
        <v>66.79827579961604</v>
      </c>
      <c r="J922" s="121">
        <f t="shared" si="121"/>
        <v>100</v>
      </c>
    </row>
    <row r="923" spans="1:10" ht="24">
      <c r="A923" s="176" t="s">
        <v>1705</v>
      </c>
      <c r="B923" s="124" t="s">
        <v>1624</v>
      </c>
      <c r="C923" s="124" t="s">
        <v>1627</v>
      </c>
      <c r="D923" s="124" t="s">
        <v>1674</v>
      </c>
      <c r="E923" s="124" t="s">
        <v>1706</v>
      </c>
      <c r="F923" s="132">
        <f t="shared" si="125"/>
        <v>2760.7</v>
      </c>
      <c r="G923" s="132">
        <f t="shared" si="125"/>
        <v>1844.1</v>
      </c>
      <c r="H923" s="132">
        <f t="shared" si="125"/>
        <v>1844.1</v>
      </c>
      <c r="I923" s="121">
        <f t="shared" si="120"/>
        <v>66.79827579961604</v>
      </c>
      <c r="J923" s="121">
        <f t="shared" si="121"/>
        <v>100</v>
      </c>
    </row>
    <row r="924" spans="1:10" ht="24">
      <c r="A924" s="176" t="s">
        <v>977</v>
      </c>
      <c r="B924" s="124" t="s">
        <v>1624</v>
      </c>
      <c r="C924" s="124" t="s">
        <v>1627</v>
      </c>
      <c r="D924" s="124" t="s">
        <v>1674</v>
      </c>
      <c r="E924" s="124" t="s">
        <v>846</v>
      </c>
      <c r="F924" s="135">
        <f>2760.7</f>
        <v>2760.7</v>
      </c>
      <c r="G924" s="135">
        <f>2760.7+1850.3-2766.9</f>
        <v>1844.1</v>
      </c>
      <c r="H924" s="135">
        <f>2760.7+1850.3-2766.9</f>
        <v>1844.1</v>
      </c>
      <c r="I924" s="121">
        <f t="shared" si="120"/>
        <v>66.79827579961604</v>
      </c>
      <c r="J924" s="121">
        <f t="shared" si="121"/>
        <v>100</v>
      </c>
    </row>
    <row r="925" spans="1:10" ht="36">
      <c r="A925" s="176" t="s">
        <v>1431</v>
      </c>
      <c r="B925" s="124" t="s">
        <v>1624</v>
      </c>
      <c r="C925" s="124" t="s">
        <v>1627</v>
      </c>
      <c r="D925" s="124" t="s">
        <v>686</v>
      </c>
      <c r="E925" s="124"/>
      <c r="F925" s="132">
        <f>F926+F929</f>
        <v>158.1</v>
      </c>
      <c r="G925" s="132">
        <f>G926+G929</f>
        <v>15871</v>
      </c>
      <c r="H925" s="132">
        <f>H926+H929</f>
        <v>15863.900000000001</v>
      </c>
      <c r="I925" s="121">
        <f t="shared" si="120"/>
        <v>10034.092346616068</v>
      </c>
      <c r="J925" s="121">
        <f t="shared" si="121"/>
        <v>99.95526431856847</v>
      </c>
    </row>
    <row r="926" spans="1:10" ht="24">
      <c r="A926" s="176" t="s">
        <v>28</v>
      </c>
      <c r="B926" s="124" t="s">
        <v>1624</v>
      </c>
      <c r="C926" s="124" t="s">
        <v>1627</v>
      </c>
      <c r="D926" s="124" t="s">
        <v>687</v>
      </c>
      <c r="E926" s="124"/>
      <c r="F926" s="132">
        <f aca="true" t="shared" si="126" ref="F926:H927">F927</f>
        <v>158.1</v>
      </c>
      <c r="G926" s="132">
        <f t="shared" si="126"/>
        <v>165</v>
      </c>
      <c r="H926" s="132">
        <f t="shared" si="126"/>
        <v>158.7</v>
      </c>
      <c r="I926" s="121">
        <f t="shared" si="120"/>
        <v>100.3795066413662</v>
      </c>
      <c r="J926" s="121">
        <f t="shared" si="121"/>
        <v>96.18181818181817</v>
      </c>
    </row>
    <row r="927" spans="1:10" ht="24">
      <c r="A927" s="176" t="s">
        <v>1705</v>
      </c>
      <c r="B927" s="124" t="s">
        <v>1624</v>
      </c>
      <c r="C927" s="124" t="s">
        <v>1627</v>
      </c>
      <c r="D927" s="124" t="s">
        <v>687</v>
      </c>
      <c r="E927" s="124" t="s">
        <v>1706</v>
      </c>
      <c r="F927" s="132">
        <f t="shared" si="126"/>
        <v>158.1</v>
      </c>
      <c r="G927" s="132">
        <f t="shared" si="126"/>
        <v>165</v>
      </c>
      <c r="H927" s="132">
        <f t="shared" si="126"/>
        <v>158.7</v>
      </c>
      <c r="I927" s="121">
        <f t="shared" si="120"/>
        <v>100.3795066413662</v>
      </c>
      <c r="J927" s="121">
        <f t="shared" si="121"/>
        <v>96.18181818181817</v>
      </c>
    </row>
    <row r="928" spans="1:10" ht="24">
      <c r="A928" s="176" t="s">
        <v>977</v>
      </c>
      <c r="B928" s="124" t="s">
        <v>1624</v>
      </c>
      <c r="C928" s="124" t="s">
        <v>1627</v>
      </c>
      <c r="D928" s="124" t="s">
        <v>687</v>
      </c>
      <c r="E928" s="124" t="s">
        <v>846</v>
      </c>
      <c r="F928" s="135">
        <f>158.1</f>
        <v>158.1</v>
      </c>
      <c r="G928" s="135">
        <f>158.1+6.9</f>
        <v>165</v>
      </c>
      <c r="H928" s="135">
        <v>158.7</v>
      </c>
      <c r="I928" s="121">
        <f t="shared" si="120"/>
        <v>100.3795066413662</v>
      </c>
      <c r="J928" s="121">
        <f t="shared" si="121"/>
        <v>96.18181818181817</v>
      </c>
    </row>
    <row r="929" spans="1:10" ht="24" customHeight="1">
      <c r="A929" s="176" t="s">
        <v>28</v>
      </c>
      <c r="B929" s="124" t="s">
        <v>1624</v>
      </c>
      <c r="C929" s="124" t="s">
        <v>1627</v>
      </c>
      <c r="D929" s="124" t="s">
        <v>55</v>
      </c>
      <c r="E929" s="124"/>
      <c r="F929" s="132">
        <f aca="true" t="shared" si="127" ref="F929:H930">F930</f>
        <v>0</v>
      </c>
      <c r="G929" s="132">
        <f t="shared" si="127"/>
        <v>15706</v>
      </c>
      <c r="H929" s="132">
        <f t="shared" si="127"/>
        <v>15705.2</v>
      </c>
      <c r="I929" s="121">
        <v>0</v>
      </c>
      <c r="J929" s="121">
        <f t="shared" si="121"/>
        <v>99.99490640519547</v>
      </c>
    </row>
    <row r="930" spans="1:10" ht="24">
      <c r="A930" s="176" t="s">
        <v>1705</v>
      </c>
      <c r="B930" s="124" t="s">
        <v>1624</v>
      </c>
      <c r="C930" s="124" t="s">
        <v>1627</v>
      </c>
      <c r="D930" s="124" t="s">
        <v>55</v>
      </c>
      <c r="E930" s="124" t="s">
        <v>1706</v>
      </c>
      <c r="F930" s="132">
        <f t="shared" si="127"/>
        <v>0</v>
      </c>
      <c r="G930" s="132">
        <f t="shared" si="127"/>
        <v>15706</v>
      </c>
      <c r="H930" s="132">
        <f t="shared" si="127"/>
        <v>15705.2</v>
      </c>
      <c r="I930" s="121">
        <v>0</v>
      </c>
      <c r="J930" s="121">
        <f t="shared" si="121"/>
        <v>99.99490640519547</v>
      </c>
    </row>
    <row r="931" spans="1:10" ht="24">
      <c r="A931" s="176" t="s">
        <v>977</v>
      </c>
      <c r="B931" s="124" t="s">
        <v>1624</v>
      </c>
      <c r="C931" s="124" t="s">
        <v>1627</v>
      </c>
      <c r="D931" s="124" t="s">
        <v>55</v>
      </c>
      <c r="E931" s="124" t="s">
        <v>846</v>
      </c>
      <c r="F931" s="135">
        <v>0</v>
      </c>
      <c r="G931" s="135">
        <v>15706</v>
      </c>
      <c r="H931" s="135">
        <v>15705.2</v>
      </c>
      <c r="I931" s="121">
        <v>0</v>
      </c>
      <c r="J931" s="121">
        <f t="shared" si="121"/>
        <v>99.99490640519547</v>
      </c>
    </row>
    <row r="932" spans="1:10" ht="48">
      <c r="A932" s="114" t="s">
        <v>1403</v>
      </c>
      <c r="B932" s="124" t="s">
        <v>1624</v>
      </c>
      <c r="C932" s="124" t="s">
        <v>1627</v>
      </c>
      <c r="D932" s="124" t="s">
        <v>1404</v>
      </c>
      <c r="E932" s="124"/>
      <c r="F932" s="132">
        <f aca="true" t="shared" si="128" ref="F932:H933">F933</f>
        <v>0</v>
      </c>
      <c r="G932" s="132">
        <f t="shared" si="128"/>
        <v>504.1</v>
      </c>
      <c r="H932" s="132">
        <f t="shared" si="128"/>
        <v>0</v>
      </c>
      <c r="I932" s="121">
        <v>0</v>
      </c>
      <c r="J932" s="121">
        <f t="shared" si="121"/>
        <v>0</v>
      </c>
    </row>
    <row r="933" spans="1:10" ht="24">
      <c r="A933" s="176" t="s">
        <v>1705</v>
      </c>
      <c r="B933" s="124" t="s">
        <v>1624</v>
      </c>
      <c r="C933" s="124" t="s">
        <v>1627</v>
      </c>
      <c r="D933" s="124" t="s">
        <v>1404</v>
      </c>
      <c r="E933" s="124" t="s">
        <v>1706</v>
      </c>
      <c r="F933" s="132">
        <f t="shared" si="128"/>
        <v>0</v>
      </c>
      <c r="G933" s="132">
        <f t="shared" si="128"/>
        <v>504.1</v>
      </c>
      <c r="H933" s="132">
        <f t="shared" si="128"/>
        <v>0</v>
      </c>
      <c r="I933" s="121">
        <v>0</v>
      </c>
      <c r="J933" s="121">
        <f t="shared" si="121"/>
        <v>0</v>
      </c>
    </row>
    <row r="934" spans="1:10" ht="24">
      <c r="A934" s="176" t="s">
        <v>977</v>
      </c>
      <c r="B934" s="124" t="s">
        <v>1624</v>
      </c>
      <c r="C934" s="124" t="s">
        <v>1627</v>
      </c>
      <c r="D934" s="124" t="s">
        <v>1404</v>
      </c>
      <c r="E934" s="124" t="s">
        <v>846</v>
      </c>
      <c r="F934" s="135">
        <v>0</v>
      </c>
      <c r="G934" s="135">
        <v>504.1</v>
      </c>
      <c r="H934" s="135">
        <v>0</v>
      </c>
      <c r="I934" s="121">
        <v>0</v>
      </c>
      <c r="J934" s="121">
        <f t="shared" si="121"/>
        <v>0</v>
      </c>
    </row>
    <row r="935" spans="1:10" ht="15.75">
      <c r="A935" s="133" t="s">
        <v>1453</v>
      </c>
      <c r="B935" s="124" t="s">
        <v>1624</v>
      </c>
      <c r="C935" s="124" t="s">
        <v>1064</v>
      </c>
      <c r="D935" s="140"/>
      <c r="E935" s="124"/>
      <c r="F935" s="132">
        <f>F936+F945</f>
        <v>133171</v>
      </c>
      <c r="G935" s="132">
        <f>G936+G945</f>
        <v>121123</v>
      </c>
      <c r="H935" s="132">
        <f>H936+H945</f>
        <v>105546.4</v>
      </c>
      <c r="I935" s="121">
        <f t="shared" si="120"/>
        <v>79.25629453860074</v>
      </c>
      <c r="J935" s="121">
        <f t="shared" si="121"/>
        <v>87.13984957439958</v>
      </c>
    </row>
    <row r="936" spans="1:10" ht="44.25" customHeight="1">
      <c r="A936" s="141" t="s">
        <v>802</v>
      </c>
      <c r="B936" s="124" t="s">
        <v>1624</v>
      </c>
      <c r="C936" s="124" t="s">
        <v>1064</v>
      </c>
      <c r="D936" s="124" t="s">
        <v>1717</v>
      </c>
      <c r="E936" s="124"/>
      <c r="F936" s="132">
        <f aca="true" t="shared" si="129" ref="F936:H937">F937</f>
        <v>52056</v>
      </c>
      <c r="G936" s="132">
        <f t="shared" si="129"/>
        <v>47323</v>
      </c>
      <c r="H936" s="132">
        <f t="shared" si="129"/>
        <v>31747.1</v>
      </c>
      <c r="I936" s="121">
        <f t="shared" si="120"/>
        <v>60.986437682495776</v>
      </c>
      <c r="J936" s="121">
        <f t="shared" si="121"/>
        <v>67.08598355979122</v>
      </c>
    </row>
    <row r="937" spans="1:10" ht="36">
      <c r="A937" s="134" t="s">
        <v>1443</v>
      </c>
      <c r="B937" s="124" t="s">
        <v>1624</v>
      </c>
      <c r="C937" s="124" t="s">
        <v>1064</v>
      </c>
      <c r="D937" s="124" t="s">
        <v>549</v>
      </c>
      <c r="E937" s="124"/>
      <c r="F937" s="132">
        <f t="shared" si="129"/>
        <v>52056</v>
      </c>
      <c r="G937" s="132">
        <f t="shared" si="129"/>
        <v>47323</v>
      </c>
      <c r="H937" s="132">
        <f t="shared" si="129"/>
        <v>31747.1</v>
      </c>
      <c r="I937" s="121">
        <f t="shared" si="120"/>
        <v>60.986437682495776</v>
      </c>
      <c r="J937" s="121">
        <f t="shared" si="121"/>
        <v>67.08598355979122</v>
      </c>
    </row>
    <row r="938" spans="1:10" ht="72">
      <c r="A938" s="170" t="s">
        <v>628</v>
      </c>
      <c r="B938" s="124" t="s">
        <v>1624</v>
      </c>
      <c r="C938" s="124" t="s">
        <v>1064</v>
      </c>
      <c r="D938" s="124" t="s">
        <v>650</v>
      </c>
      <c r="E938" s="124"/>
      <c r="F938" s="132">
        <f>F941+F939</f>
        <v>52056</v>
      </c>
      <c r="G938" s="132">
        <f>G941+G939</f>
        <v>47323</v>
      </c>
      <c r="H938" s="132">
        <f>H941+H939</f>
        <v>31747.1</v>
      </c>
      <c r="I938" s="121">
        <f t="shared" si="120"/>
        <v>60.986437682495776</v>
      </c>
      <c r="J938" s="121">
        <f t="shared" si="121"/>
        <v>67.08598355979122</v>
      </c>
    </row>
    <row r="939" spans="1:10" ht="24">
      <c r="A939" s="134" t="s">
        <v>782</v>
      </c>
      <c r="B939" s="124" t="s">
        <v>1624</v>
      </c>
      <c r="C939" s="124" t="s">
        <v>1064</v>
      </c>
      <c r="D939" s="124" t="s">
        <v>650</v>
      </c>
      <c r="E939" s="124" t="s">
        <v>1704</v>
      </c>
      <c r="F939" s="132">
        <f>F940</f>
        <v>0</v>
      </c>
      <c r="G939" s="132">
        <f>G940</f>
        <v>928</v>
      </c>
      <c r="H939" s="132">
        <f>H940</f>
        <v>234.8</v>
      </c>
      <c r="I939" s="121">
        <v>0</v>
      </c>
      <c r="J939" s="121">
        <f t="shared" si="121"/>
        <v>25.301724137931036</v>
      </c>
    </row>
    <row r="940" spans="1:10" ht="36">
      <c r="A940" s="134" t="s">
        <v>1718</v>
      </c>
      <c r="B940" s="124" t="s">
        <v>1624</v>
      </c>
      <c r="C940" s="124" t="s">
        <v>1064</v>
      </c>
      <c r="D940" s="124" t="s">
        <v>650</v>
      </c>
      <c r="E940" s="124" t="s">
        <v>1619</v>
      </c>
      <c r="F940" s="135">
        <v>0</v>
      </c>
      <c r="G940" s="135">
        <f>1020-92</f>
        <v>928</v>
      </c>
      <c r="H940" s="135">
        <v>234.8</v>
      </c>
      <c r="I940" s="121">
        <v>0</v>
      </c>
      <c r="J940" s="121">
        <f t="shared" si="121"/>
        <v>25.301724137931036</v>
      </c>
    </row>
    <row r="941" spans="1:10" ht="24">
      <c r="A941" s="176" t="s">
        <v>1705</v>
      </c>
      <c r="B941" s="124" t="s">
        <v>1624</v>
      </c>
      <c r="C941" s="124" t="s">
        <v>1064</v>
      </c>
      <c r="D941" s="124" t="s">
        <v>650</v>
      </c>
      <c r="E941" s="124" t="s">
        <v>1706</v>
      </c>
      <c r="F941" s="132">
        <f>F942</f>
        <v>52056</v>
      </c>
      <c r="G941" s="132">
        <f>G942</f>
        <v>46395</v>
      </c>
      <c r="H941" s="132">
        <f>H942</f>
        <v>31512.3</v>
      </c>
      <c r="I941" s="121">
        <f t="shared" si="120"/>
        <v>60.53538497003227</v>
      </c>
      <c r="J941" s="121">
        <f t="shared" si="121"/>
        <v>67.92175881021662</v>
      </c>
    </row>
    <row r="942" spans="1:10" ht="24">
      <c r="A942" s="129" t="s">
        <v>977</v>
      </c>
      <c r="B942" s="124" t="s">
        <v>1624</v>
      </c>
      <c r="C942" s="124" t="s">
        <v>1064</v>
      </c>
      <c r="D942" s="124" t="s">
        <v>650</v>
      </c>
      <c r="E942" s="124" t="s">
        <v>846</v>
      </c>
      <c r="F942" s="135">
        <f>52056</f>
        <v>52056</v>
      </c>
      <c r="G942" s="135">
        <f>52056-1020-4641</f>
        <v>46395</v>
      </c>
      <c r="H942" s="135">
        <v>31512.3</v>
      </c>
      <c r="I942" s="121">
        <f t="shared" si="120"/>
        <v>60.53538497003227</v>
      </c>
      <c r="J942" s="121">
        <f t="shared" si="121"/>
        <v>67.92175881021662</v>
      </c>
    </row>
    <row r="943" spans="1:10" ht="15" hidden="1">
      <c r="A943" s="9"/>
      <c r="B943" s="9"/>
      <c r="C943" s="9"/>
      <c r="D943" s="9"/>
      <c r="E943" s="9"/>
      <c r="F943" s="9"/>
      <c r="G943" s="9"/>
      <c r="H943" s="9"/>
      <c r="I943" s="121" t="e">
        <f t="shared" si="120"/>
        <v>#DIV/0!</v>
      </c>
      <c r="J943" s="121" t="e">
        <f t="shared" si="121"/>
        <v>#DIV/0!</v>
      </c>
    </row>
    <row r="944" spans="1:10" ht="15" hidden="1">
      <c r="A944" s="9"/>
      <c r="B944" s="9"/>
      <c r="C944" s="9"/>
      <c r="D944" s="9"/>
      <c r="E944" s="9"/>
      <c r="F944" s="9"/>
      <c r="G944" s="9"/>
      <c r="H944" s="9"/>
      <c r="I944" s="121" t="e">
        <f t="shared" si="120"/>
        <v>#DIV/0!</v>
      </c>
      <c r="J944" s="121" t="e">
        <f t="shared" si="121"/>
        <v>#DIV/0!</v>
      </c>
    </row>
    <row r="945" spans="1:23" s="21" customFormat="1" ht="36">
      <c r="A945" s="141" t="s">
        <v>553</v>
      </c>
      <c r="B945" s="124" t="s">
        <v>1624</v>
      </c>
      <c r="C945" s="124" t="s">
        <v>1064</v>
      </c>
      <c r="D945" s="124" t="s">
        <v>1035</v>
      </c>
      <c r="E945" s="124"/>
      <c r="F945" s="132">
        <f>F946</f>
        <v>81115</v>
      </c>
      <c r="G945" s="132">
        <f>G946</f>
        <v>73800</v>
      </c>
      <c r="H945" s="132">
        <f>H946</f>
        <v>73799.3</v>
      </c>
      <c r="I945" s="121">
        <f t="shared" si="120"/>
        <v>90.98107624976886</v>
      </c>
      <c r="J945" s="121">
        <f t="shared" si="121"/>
        <v>99.99905149051492</v>
      </c>
      <c r="K945" s="47"/>
      <c r="L945" s="48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</row>
    <row r="946" spans="1:23" s="21" customFormat="1" ht="48">
      <c r="A946" s="161" t="s">
        <v>1286</v>
      </c>
      <c r="B946" s="124" t="s">
        <v>1624</v>
      </c>
      <c r="C946" s="124" t="s">
        <v>1064</v>
      </c>
      <c r="D946" s="124" t="s">
        <v>1216</v>
      </c>
      <c r="E946" s="124"/>
      <c r="F946" s="132">
        <f>F950+F947</f>
        <v>81115</v>
      </c>
      <c r="G946" s="132">
        <f>G950+G947</f>
        <v>73800</v>
      </c>
      <c r="H946" s="132">
        <f>H950+H947</f>
        <v>73799.3</v>
      </c>
      <c r="I946" s="121">
        <f t="shared" si="120"/>
        <v>90.98107624976886</v>
      </c>
      <c r="J946" s="121">
        <f t="shared" si="121"/>
        <v>99.99905149051492</v>
      </c>
      <c r="K946" s="47"/>
      <c r="L946" s="48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</row>
    <row r="947" spans="1:23" s="21" customFormat="1" ht="72">
      <c r="A947" s="129" t="s">
        <v>881</v>
      </c>
      <c r="B947" s="124" t="s">
        <v>1624</v>
      </c>
      <c r="C947" s="124" t="s">
        <v>1064</v>
      </c>
      <c r="D947" s="124" t="s">
        <v>882</v>
      </c>
      <c r="E947" s="124"/>
      <c r="F947" s="132">
        <f aca="true" t="shared" si="130" ref="F947:H948">F948</f>
        <v>0</v>
      </c>
      <c r="G947" s="132">
        <f t="shared" si="130"/>
        <v>0</v>
      </c>
      <c r="H947" s="132">
        <f t="shared" si="130"/>
        <v>0</v>
      </c>
      <c r="I947" s="121">
        <v>0</v>
      </c>
      <c r="J947" s="121">
        <v>0</v>
      </c>
      <c r="K947" s="47"/>
      <c r="L947" s="48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</row>
    <row r="948" spans="1:23" s="21" customFormat="1" ht="24">
      <c r="A948" s="176" t="s">
        <v>1705</v>
      </c>
      <c r="B948" s="124" t="s">
        <v>1624</v>
      </c>
      <c r="C948" s="124" t="s">
        <v>1064</v>
      </c>
      <c r="D948" s="124" t="s">
        <v>882</v>
      </c>
      <c r="E948" s="124" t="s">
        <v>1706</v>
      </c>
      <c r="F948" s="132">
        <f t="shared" si="130"/>
        <v>0</v>
      </c>
      <c r="G948" s="132">
        <f t="shared" si="130"/>
        <v>0</v>
      </c>
      <c r="H948" s="132">
        <f t="shared" si="130"/>
        <v>0</v>
      </c>
      <c r="I948" s="121">
        <v>0</v>
      </c>
      <c r="J948" s="121">
        <v>0</v>
      </c>
      <c r="K948" s="47"/>
      <c r="L948" s="48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</row>
    <row r="949" spans="1:23" s="21" customFormat="1" ht="24">
      <c r="A949" s="129" t="s">
        <v>977</v>
      </c>
      <c r="B949" s="124" t="s">
        <v>1624</v>
      </c>
      <c r="C949" s="124" t="s">
        <v>1064</v>
      </c>
      <c r="D949" s="124" t="s">
        <v>882</v>
      </c>
      <c r="E949" s="124" t="s">
        <v>846</v>
      </c>
      <c r="F949" s="135">
        <f>2864-7-2857</f>
        <v>0</v>
      </c>
      <c r="G949" s="135">
        <f>2864-7-2857</f>
        <v>0</v>
      </c>
      <c r="H949" s="135">
        <f>2864-7-2857</f>
        <v>0</v>
      </c>
      <c r="I949" s="121">
        <v>0</v>
      </c>
      <c r="J949" s="121">
        <v>0</v>
      </c>
      <c r="K949" s="47"/>
      <c r="L949" s="48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</row>
    <row r="950" spans="1:23" s="21" customFormat="1" ht="60">
      <c r="A950" s="129" t="s">
        <v>472</v>
      </c>
      <c r="B950" s="124" t="s">
        <v>1624</v>
      </c>
      <c r="C950" s="124" t="s">
        <v>1064</v>
      </c>
      <c r="D950" s="124" t="s">
        <v>1482</v>
      </c>
      <c r="E950" s="124"/>
      <c r="F950" s="132">
        <f aca="true" t="shared" si="131" ref="F950:H951">F951</f>
        <v>81115</v>
      </c>
      <c r="G950" s="132">
        <f t="shared" si="131"/>
        <v>73800</v>
      </c>
      <c r="H950" s="132">
        <f t="shared" si="131"/>
        <v>73799.3</v>
      </c>
      <c r="I950" s="121">
        <f t="shared" si="120"/>
        <v>90.98107624976886</v>
      </c>
      <c r="J950" s="121">
        <f t="shared" si="121"/>
        <v>99.99905149051492</v>
      </c>
      <c r="K950" s="47"/>
      <c r="L950" s="48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</row>
    <row r="951" spans="1:23" s="21" customFormat="1" ht="24">
      <c r="A951" s="176" t="s">
        <v>1705</v>
      </c>
      <c r="B951" s="124" t="s">
        <v>1624</v>
      </c>
      <c r="C951" s="124" t="s">
        <v>1064</v>
      </c>
      <c r="D951" s="124" t="s">
        <v>1482</v>
      </c>
      <c r="E951" s="124" t="s">
        <v>1706</v>
      </c>
      <c r="F951" s="132">
        <f t="shared" si="131"/>
        <v>81115</v>
      </c>
      <c r="G951" s="132">
        <f t="shared" si="131"/>
        <v>73800</v>
      </c>
      <c r="H951" s="132">
        <f t="shared" si="131"/>
        <v>73799.3</v>
      </c>
      <c r="I951" s="121">
        <f t="shared" si="120"/>
        <v>90.98107624976886</v>
      </c>
      <c r="J951" s="121">
        <f t="shared" si="121"/>
        <v>99.99905149051492</v>
      </c>
      <c r="K951" s="47"/>
      <c r="L951" s="48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</row>
    <row r="952" spans="1:23" s="21" customFormat="1" ht="24">
      <c r="A952" s="129" t="s">
        <v>977</v>
      </c>
      <c r="B952" s="124" t="s">
        <v>1624</v>
      </c>
      <c r="C952" s="124" t="s">
        <v>1064</v>
      </c>
      <c r="D952" s="124" t="s">
        <v>1482</v>
      </c>
      <c r="E952" s="124" t="s">
        <v>846</v>
      </c>
      <c r="F952" s="135">
        <f>81115</f>
        <v>81115</v>
      </c>
      <c r="G952" s="135">
        <f>81115-7315</f>
        <v>73800</v>
      </c>
      <c r="H952" s="135">
        <v>73799.3</v>
      </c>
      <c r="I952" s="121">
        <f t="shared" si="120"/>
        <v>90.98107624976886</v>
      </c>
      <c r="J952" s="121">
        <f t="shared" si="121"/>
        <v>99.99905149051492</v>
      </c>
      <c r="K952" s="47"/>
      <c r="L952" s="48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</row>
    <row r="953" spans="1:23" s="21" customFormat="1" ht="15.75">
      <c r="A953" s="144" t="s">
        <v>159</v>
      </c>
      <c r="B953" s="146" t="s">
        <v>1695</v>
      </c>
      <c r="C953" s="146"/>
      <c r="D953" s="146"/>
      <c r="E953" s="146"/>
      <c r="F953" s="125">
        <f aca="true" t="shared" si="132" ref="F953:H955">F954</f>
        <v>403821.6</v>
      </c>
      <c r="G953" s="125">
        <f t="shared" si="132"/>
        <v>390350.69999999995</v>
      </c>
      <c r="H953" s="125">
        <f t="shared" si="132"/>
        <v>375660.8</v>
      </c>
      <c r="I953" s="121">
        <f t="shared" si="120"/>
        <v>93.02642553048179</v>
      </c>
      <c r="J953" s="121">
        <f t="shared" si="121"/>
        <v>96.23674301083615</v>
      </c>
      <c r="K953" s="47"/>
      <c r="L953" s="48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</row>
    <row r="954" spans="1:23" s="21" customFormat="1" ht="15.75">
      <c r="A954" s="133" t="s">
        <v>160</v>
      </c>
      <c r="B954" s="124" t="s">
        <v>1695</v>
      </c>
      <c r="C954" s="124" t="s">
        <v>1594</v>
      </c>
      <c r="D954" s="147"/>
      <c r="E954" s="147"/>
      <c r="F954" s="155">
        <f t="shared" si="132"/>
        <v>403821.6</v>
      </c>
      <c r="G954" s="155">
        <f t="shared" si="132"/>
        <v>390350.69999999995</v>
      </c>
      <c r="H954" s="155">
        <f t="shared" si="132"/>
        <v>375660.8</v>
      </c>
      <c r="I954" s="121">
        <f t="shared" si="120"/>
        <v>93.02642553048179</v>
      </c>
      <c r="J954" s="121">
        <f t="shared" si="121"/>
        <v>96.23674301083615</v>
      </c>
      <c r="K954" s="47"/>
      <c r="L954" s="48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</row>
    <row r="955" spans="1:10" ht="36">
      <c r="A955" s="141" t="s">
        <v>732</v>
      </c>
      <c r="B955" s="124" t="s">
        <v>1695</v>
      </c>
      <c r="C955" s="124" t="s">
        <v>1594</v>
      </c>
      <c r="D955" s="124" t="s">
        <v>625</v>
      </c>
      <c r="E955" s="124"/>
      <c r="F955" s="132">
        <f t="shared" si="132"/>
        <v>403821.6</v>
      </c>
      <c r="G955" s="132">
        <f t="shared" si="132"/>
        <v>390350.69999999995</v>
      </c>
      <c r="H955" s="132">
        <f t="shared" si="132"/>
        <v>375660.8</v>
      </c>
      <c r="I955" s="121">
        <f t="shared" si="120"/>
        <v>93.02642553048179</v>
      </c>
      <c r="J955" s="121">
        <f t="shared" si="121"/>
        <v>96.23674301083615</v>
      </c>
    </row>
    <row r="956" spans="1:10" ht="36">
      <c r="A956" s="134" t="s">
        <v>148</v>
      </c>
      <c r="B956" s="124" t="s">
        <v>1695</v>
      </c>
      <c r="C956" s="124" t="s">
        <v>1594</v>
      </c>
      <c r="D956" s="124" t="s">
        <v>667</v>
      </c>
      <c r="E956" s="124"/>
      <c r="F956" s="132">
        <f>F963+F966+F974+F979+F957+F960+F984+F987</f>
        <v>403821.6</v>
      </c>
      <c r="G956" s="132">
        <f>G963+G966+G974+G979+G957+G960+G984+G987</f>
        <v>390350.69999999995</v>
      </c>
      <c r="H956" s="132">
        <f>H963+H966+H974+H979+H957+H960+H984+H987</f>
        <v>375660.8</v>
      </c>
      <c r="I956" s="121">
        <f t="shared" si="120"/>
        <v>93.02642553048179</v>
      </c>
      <c r="J956" s="121">
        <f t="shared" si="121"/>
        <v>96.23674301083615</v>
      </c>
    </row>
    <row r="957" spans="1:10" ht="48">
      <c r="A957" s="203" t="s">
        <v>873</v>
      </c>
      <c r="B957" s="124" t="s">
        <v>1695</v>
      </c>
      <c r="C957" s="124" t="s">
        <v>1594</v>
      </c>
      <c r="D957" s="124" t="s">
        <v>874</v>
      </c>
      <c r="E957" s="124"/>
      <c r="F957" s="132">
        <f aca="true" t="shared" si="133" ref="F957:H958">F958</f>
        <v>0</v>
      </c>
      <c r="G957" s="132">
        <f t="shared" si="133"/>
        <v>4544</v>
      </c>
      <c r="H957" s="132">
        <f t="shared" si="133"/>
        <v>0</v>
      </c>
      <c r="I957" s="609">
        <v>0</v>
      </c>
      <c r="J957" s="609"/>
    </row>
    <row r="958" spans="1:10" ht="36">
      <c r="A958" s="129" t="s">
        <v>752</v>
      </c>
      <c r="B958" s="124" t="s">
        <v>1695</v>
      </c>
      <c r="C958" s="124" t="s">
        <v>1594</v>
      </c>
      <c r="D958" s="124" t="s">
        <v>874</v>
      </c>
      <c r="E958" s="124" t="s">
        <v>751</v>
      </c>
      <c r="F958" s="610">
        <f t="shared" si="133"/>
        <v>0</v>
      </c>
      <c r="G958" s="132">
        <f t="shared" si="133"/>
        <v>4544</v>
      </c>
      <c r="H958" s="132">
        <f t="shared" si="133"/>
        <v>0</v>
      </c>
      <c r="I958" s="121">
        <v>0</v>
      </c>
      <c r="J958" s="121">
        <f t="shared" si="121"/>
        <v>0</v>
      </c>
    </row>
    <row r="959" spans="1:10" ht="15.75">
      <c r="A959" s="134" t="s">
        <v>1212</v>
      </c>
      <c r="B959" s="124" t="s">
        <v>1695</v>
      </c>
      <c r="C959" s="124" t="s">
        <v>1594</v>
      </c>
      <c r="D959" s="124" t="s">
        <v>874</v>
      </c>
      <c r="E959" s="124" t="s">
        <v>1436</v>
      </c>
      <c r="F959" s="135">
        <v>0</v>
      </c>
      <c r="G959" s="135">
        <v>4544</v>
      </c>
      <c r="H959" s="135">
        <v>0</v>
      </c>
      <c r="I959" s="121">
        <v>0</v>
      </c>
      <c r="J959" s="121">
        <f t="shared" si="121"/>
        <v>0</v>
      </c>
    </row>
    <row r="960" spans="1:10" ht="36">
      <c r="A960" s="134" t="s">
        <v>875</v>
      </c>
      <c r="B960" s="124" t="s">
        <v>1695</v>
      </c>
      <c r="C960" s="124" t="s">
        <v>1594</v>
      </c>
      <c r="D960" s="124" t="s">
        <v>876</v>
      </c>
      <c r="E960" s="124"/>
      <c r="F960" s="132">
        <f aca="true" t="shared" si="134" ref="F960:H961">F961</f>
        <v>0</v>
      </c>
      <c r="G960" s="132">
        <f t="shared" si="134"/>
        <v>3136</v>
      </c>
      <c r="H960" s="132">
        <f t="shared" si="134"/>
        <v>0</v>
      </c>
      <c r="I960" s="121">
        <v>0</v>
      </c>
      <c r="J960" s="121">
        <f t="shared" si="121"/>
        <v>0</v>
      </c>
    </row>
    <row r="961" spans="1:10" ht="36">
      <c r="A961" s="129" t="s">
        <v>752</v>
      </c>
      <c r="B961" s="124" t="s">
        <v>1695</v>
      </c>
      <c r="C961" s="124" t="s">
        <v>1594</v>
      </c>
      <c r="D961" s="124" t="s">
        <v>876</v>
      </c>
      <c r="E961" s="124" t="s">
        <v>751</v>
      </c>
      <c r="F961" s="132">
        <f t="shared" si="134"/>
        <v>0</v>
      </c>
      <c r="G961" s="132">
        <f t="shared" si="134"/>
        <v>3136</v>
      </c>
      <c r="H961" s="132">
        <f t="shared" si="134"/>
        <v>0</v>
      </c>
      <c r="I961" s="121">
        <v>0</v>
      </c>
      <c r="J961" s="121">
        <f t="shared" si="121"/>
        <v>0</v>
      </c>
    </row>
    <row r="962" spans="1:10" ht="15.75">
      <c r="A962" s="134" t="s">
        <v>1212</v>
      </c>
      <c r="B962" s="124" t="s">
        <v>1695</v>
      </c>
      <c r="C962" s="124" t="s">
        <v>1594</v>
      </c>
      <c r="D962" s="124" t="s">
        <v>876</v>
      </c>
      <c r="E962" s="124" t="s">
        <v>1436</v>
      </c>
      <c r="F962" s="135">
        <v>0</v>
      </c>
      <c r="G962" s="135">
        <v>3136</v>
      </c>
      <c r="H962" s="135">
        <v>0</v>
      </c>
      <c r="I962" s="121">
        <v>0</v>
      </c>
      <c r="J962" s="121">
        <f t="shared" si="121"/>
        <v>0</v>
      </c>
    </row>
    <row r="963" spans="1:10" ht="120">
      <c r="A963" s="142" t="s">
        <v>1221</v>
      </c>
      <c r="B963" s="127" t="s">
        <v>1695</v>
      </c>
      <c r="C963" s="127" t="s">
        <v>1594</v>
      </c>
      <c r="D963" s="124" t="s">
        <v>1681</v>
      </c>
      <c r="E963" s="124"/>
      <c r="F963" s="132">
        <f aca="true" t="shared" si="135" ref="F963:H964">F964</f>
        <v>7680</v>
      </c>
      <c r="G963" s="132">
        <f t="shared" si="135"/>
        <v>0</v>
      </c>
      <c r="H963" s="132">
        <f t="shared" si="135"/>
        <v>0</v>
      </c>
      <c r="I963" s="121">
        <f t="shared" si="120"/>
        <v>0</v>
      </c>
      <c r="J963" s="121">
        <v>0</v>
      </c>
    </row>
    <row r="964" spans="1:10" ht="36">
      <c r="A964" s="129" t="s">
        <v>592</v>
      </c>
      <c r="B964" s="127" t="s">
        <v>1695</v>
      </c>
      <c r="C964" s="127" t="s">
        <v>1594</v>
      </c>
      <c r="D964" s="124" t="s">
        <v>1681</v>
      </c>
      <c r="E964" s="127" t="s">
        <v>107</v>
      </c>
      <c r="F964" s="132">
        <f t="shared" si="135"/>
        <v>7680</v>
      </c>
      <c r="G964" s="132">
        <f t="shared" si="135"/>
        <v>0</v>
      </c>
      <c r="H964" s="132">
        <f t="shared" si="135"/>
        <v>0</v>
      </c>
      <c r="I964" s="121">
        <f t="shared" si="120"/>
        <v>0</v>
      </c>
      <c r="J964" s="121">
        <v>0</v>
      </c>
    </row>
    <row r="965" spans="1:10" ht="60">
      <c r="A965" s="129" t="s">
        <v>387</v>
      </c>
      <c r="B965" s="127" t="s">
        <v>1695</v>
      </c>
      <c r="C965" s="127" t="s">
        <v>1594</v>
      </c>
      <c r="D965" s="124" t="s">
        <v>1681</v>
      </c>
      <c r="E965" s="127" t="s">
        <v>2</v>
      </c>
      <c r="F965" s="135">
        <v>7680</v>
      </c>
      <c r="G965" s="135">
        <v>0</v>
      </c>
      <c r="H965" s="135">
        <v>0</v>
      </c>
      <c r="I965" s="121">
        <f t="shared" si="120"/>
        <v>0</v>
      </c>
      <c r="J965" s="121">
        <v>0</v>
      </c>
    </row>
    <row r="966" spans="1:10" ht="36">
      <c r="A966" s="129" t="s">
        <v>752</v>
      </c>
      <c r="B966" s="124" t="s">
        <v>1695</v>
      </c>
      <c r="C966" s="124" t="s">
        <v>1594</v>
      </c>
      <c r="D966" s="124" t="s">
        <v>528</v>
      </c>
      <c r="E966" s="124" t="s">
        <v>751</v>
      </c>
      <c r="F966" s="132">
        <f>F967+F971</f>
        <v>135871</v>
      </c>
      <c r="G966" s="132">
        <f>G967+G971</f>
        <v>127596.7</v>
      </c>
      <c r="H966" s="132">
        <f>H967+H971</f>
        <v>125305.1</v>
      </c>
      <c r="I966" s="121">
        <f t="shared" si="120"/>
        <v>92.22357971899817</v>
      </c>
      <c r="J966" s="121">
        <f t="shared" si="121"/>
        <v>98.20402878757837</v>
      </c>
    </row>
    <row r="967" spans="1:10" ht="24">
      <c r="A967" s="134" t="s">
        <v>753</v>
      </c>
      <c r="B967" s="124" t="s">
        <v>1695</v>
      </c>
      <c r="C967" s="124" t="s">
        <v>1594</v>
      </c>
      <c r="D967" s="124" t="s">
        <v>528</v>
      </c>
      <c r="E967" s="124" t="s">
        <v>1436</v>
      </c>
      <c r="F967" s="132">
        <f>33436</f>
        <v>33436</v>
      </c>
      <c r="G967" s="132">
        <f>33436+G968+G969-1340+G970+61.6</f>
        <v>32476.800000000003</v>
      </c>
      <c r="H967" s="132">
        <v>31988.8</v>
      </c>
      <c r="I967" s="121">
        <f t="shared" si="120"/>
        <v>95.67173106830961</v>
      </c>
      <c r="J967" s="121">
        <f t="shared" si="121"/>
        <v>98.49738890531086</v>
      </c>
    </row>
    <row r="968" spans="1:10" ht="36">
      <c r="A968" s="134" t="s">
        <v>413</v>
      </c>
      <c r="B968" s="124" t="s">
        <v>1695</v>
      </c>
      <c r="C968" s="124" t="s">
        <v>1594</v>
      </c>
      <c r="D968" s="124" t="s">
        <v>528</v>
      </c>
      <c r="E968" s="124" t="s">
        <v>1436</v>
      </c>
      <c r="F968" s="135">
        <v>0</v>
      </c>
      <c r="G968" s="135">
        <v>63.3</v>
      </c>
      <c r="H968" s="135">
        <v>45</v>
      </c>
      <c r="I968" s="121">
        <v>0</v>
      </c>
      <c r="J968" s="121">
        <f t="shared" si="121"/>
        <v>71.09004739336493</v>
      </c>
    </row>
    <row r="969" spans="1:10" ht="36">
      <c r="A969" s="134" t="s">
        <v>56</v>
      </c>
      <c r="B969" s="124" t="s">
        <v>1695</v>
      </c>
      <c r="C969" s="124" t="s">
        <v>1594</v>
      </c>
      <c r="D969" s="124" t="s">
        <v>528</v>
      </c>
      <c r="E969" s="124" t="s">
        <v>1436</v>
      </c>
      <c r="F969" s="135">
        <v>0</v>
      </c>
      <c r="G969" s="135">
        <v>45.9</v>
      </c>
      <c r="H969" s="135">
        <v>45.9</v>
      </c>
      <c r="I969" s="121">
        <v>0</v>
      </c>
      <c r="J969" s="121">
        <f t="shared" si="121"/>
        <v>100</v>
      </c>
    </row>
    <row r="970" spans="1:10" ht="60">
      <c r="A970" s="134" t="s">
        <v>1544</v>
      </c>
      <c r="B970" s="124" t="s">
        <v>1695</v>
      </c>
      <c r="C970" s="124" t="s">
        <v>1594</v>
      </c>
      <c r="D970" s="124" t="s">
        <v>528</v>
      </c>
      <c r="E970" s="124" t="s">
        <v>1436</v>
      </c>
      <c r="F970" s="135">
        <v>0</v>
      </c>
      <c r="G970" s="135">
        <v>210</v>
      </c>
      <c r="H970" s="135">
        <v>149</v>
      </c>
      <c r="I970" s="121">
        <v>0</v>
      </c>
      <c r="J970" s="121">
        <f t="shared" si="121"/>
        <v>70.95238095238095</v>
      </c>
    </row>
    <row r="971" spans="1:10" ht="24">
      <c r="A971" s="134" t="s">
        <v>1682</v>
      </c>
      <c r="B971" s="124" t="s">
        <v>1695</v>
      </c>
      <c r="C971" s="124" t="s">
        <v>1594</v>
      </c>
      <c r="D971" s="124" t="s">
        <v>528</v>
      </c>
      <c r="E971" s="124" t="s">
        <v>1502</v>
      </c>
      <c r="F971" s="132">
        <f>102435</f>
        <v>102435</v>
      </c>
      <c r="G971" s="132">
        <f>102435+290+571-4340+4867.7-2669+255-3072.8-2400+183-1000</f>
        <v>95119.9</v>
      </c>
      <c r="H971" s="132">
        <v>93316.3</v>
      </c>
      <c r="I971" s="121">
        <f t="shared" si="120"/>
        <v>91.09806218577636</v>
      </c>
      <c r="J971" s="121">
        <f t="shared" si="121"/>
        <v>98.10386680389699</v>
      </c>
    </row>
    <row r="972" spans="1:10" ht="24">
      <c r="A972" s="134" t="s">
        <v>883</v>
      </c>
      <c r="B972" s="124" t="s">
        <v>1695</v>
      </c>
      <c r="C972" s="124" t="s">
        <v>1594</v>
      </c>
      <c r="D972" s="124" t="s">
        <v>528</v>
      </c>
      <c r="E972" s="124" t="s">
        <v>1502</v>
      </c>
      <c r="F972" s="135">
        <v>0</v>
      </c>
      <c r="G972" s="135">
        <f>1350+255</f>
        <v>1605</v>
      </c>
      <c r="H972" s="135">
        <v>1590.7</v>
      </c>
      <c r="I972" s="121">
        <v>0</v>
      </c>
      <c r="J972" s="121">
        <f t="shared" si="121"/>
        <v>99.10903426791278</v>
      </c>
    </row>
    <row r="973" spans="1:10" ht="48">
      <c r="A973" s="134" t="s">
        <v>1222</v>
      </c>
      <c r="B973" s="124" t="s">
        <v>1695</v>
      </c>
      <c r="C973" s="124" t="s">
        <v>1594</v>
      </c>
      <c r="D973" s="124" t="s">
        <v>528</v>
      </c>
      <c r="E973" s="124" t="s">
        <v>1502</v>
      </c>
      <c r="F973" s="135">
        <v>0</v>
      </c>
      <c r="G973" s="135">
        <v>183</v>
      </c>
      <c r="H973" s="135">
        <v>182.8</v>
      </c>
      <c r="I973" s="121">
        <v>0</v>
      </c>
      <c r="J973" s="121">
        <f t="shared" si="121"/>
        <v>99.89071038251367</v>
      </c>
    </row>
    <row r="974" spans="1:10" ht="36">
      <c r="A974" s="129" t="s">
        <v>752</v>
      </c>
      <c r="B974" s="124" t="s">
        <v>1695</v>
      </c>
      <c r="C974" s="124" t="s">
        <v>1594</v>
      </c>
      <c r="D974" s="124" t="s">
        <v>530</v>
      </c>
      <c r="E974" s="124" t="s">
        <v>751</v>
      </c>
      <c r="F974" s="132">
        <f>F975</f>
        <v>2000</v>
      </c>
      <c r="G974" s="132">
        <f>G975</f>
        <v>1938.4</v>
      </c>
      <c r="H974" s="132">
        <f>H975</f>
        <v>1717</v>
      </c>
      <c r="I974" s="121">
        <f t="shared" si="120"/>
        <v>85.85000000000001</v>
      </c>
      <c r="J974" s="121">
        <f t="shared" si="121"/>
        <v>88.5782088320264</v>
      </c>
    </row>
    <row r="975" spans="1:10" ht="24">
      <c r="A975" s="134" t="s">
        <v>753</v>
      </c>
      <c r="B975" s="124" t="s">
        <v>1695</v>
      </c>
      <c r="C975" s="124" t="s">
        <v>1594</v>
      </c>
      <c r="D975" s="124" t="s">
        <v>530</v>
      </c>
      <c r="E975" s="124" t="s">
        <v>1436</v>
      </c>
      <c r="F975" s="132">
        <f>F976+F977</f>
        <v>2000</v>
      </c>
      <c r="G975" s="132">
        <f>G976+G977</f>
        <v>1938.4</v>
      </c>
      <c r="H975" s="132">
        <f>H976+H977</f>
        <v>1717</v>
      </c>
      <c r="I975" s="121">
        <f t="shared" si="120"/>
        <v>85.85000000000001</v>
      </c>
      <c r="J975" s="121">
        <f t="shared" si="121"/>
        <v>88.5782088320264</v>
      </c>
    </row>
    <row r="976" spans="1:10" ht="36">
      <c r="A976" s="134" t="s">
        <v>1279</v>
      </c>
      <c r="B976" s="124" t="s">
        <v>1695</v>
      </c>
      <c r="C976" s="124" t="s">
        <v>1594</v>
      </c>
      <c r="D976" s="124" t="s">
        <v>530</v>
      </c>
      <c r="E976" s="124" t="s">
        <v>1436</v>
      </c>
      <c r="F976" s="135">
        <f>2000</f>
        <v>2000</v>
      </c>
      <c r="G976" s="135">
        <f>2000-115-61.6</f>
        <v>1823.4</v>
      </c>
      <c r="H976" s="135">
        <v>1609.4</v>
      </c>
      <c r="I976" s="121">
        <f aca="true" t="shared" si="136" ref="I976:I1017">H976/F976*100</f>
        <v>80.47000000000001</v>
      </c>
      <c r="J976" s="121">
        <f aca="true" t="shared" si="137" ref="J976:J1017">H976/G976*100</f>
        <v>88.2636832291324</v>
      </c>
    </row>
    <row r="977" spans="1:10" ht="24">
      <c r="A977" s="134" t="s">
        <v>1682</v>
      </c>
      <c r="B977" s="124" t="s">
        <v>1695</v>
      </c>
      <c r="C977" s="124" t="s">
        <v>1594</v>
      </c>
      <c r="D977" s="124" t="s">
        <v>530</v>
      </c>
      <c r="E977" s="124" t="s">
        <v>1502</v>
      </c>
      <c r="F977" s="154">
        <f>F978</f>
        <v>0</v>
      </c>
      <c r="G977" s="154">
        <f>G978</f>
        <v>115</v>
      </c>
      <c r="H977" s="154">
        <f>H978</f>
        <v>107.6</v>
      </c>
      <c r="I977" s="121">
        <v>0</v>
      </c>
      <c r="J977" s="121">
        <f t="shared" si="137"/>
        <v>93.56521739130434</v>
      </c>
    </row>
    <row r="978" spans="1:10" ht="36">
      <c r="A978" s="134" t="s">
        <v>1279</v>
      </c>
      <c r="B978" s="124" t="s">
        <v>1695</v>
      </c>
      <c r="C978" s="124" t="s">
        <v>1594</v>
      </c>
      <c r="D978" s="124" t="s">
        <v>530</v>
      </c>
      <c r="E978" s="124" t="s">
        <v>1502</v>
      </c>
      <c r="F978" s="135">
        <v>0</v>
      </c>
      <c r="G978" s="135">
        <v>115</v>
      </c>
      <c r="H978" s="135">
        <v>107.6</v>
      </c>
      <c r="I978" s="121">
        <v>0</v>
      </c>
      <c r="J978" s="121">
        <f t="shared" si="137"/>
        <v>93.56521739130434</v>
      </c>
    </row>
    <row r="979" spans="1:10" ht="36">
      <c r="A979" s="129" t="s">
        <v>592</v>
      </c>
      <c r="B979" s="127" t="s">
        <v>1695</v>
      </c>
      <c r="C979" s="127" t="s">
        <v>1594</v>
      </c>
      <c r="D979" s="124" t="s">
        <v>529</v>
      </c>
      <c r="E979" s="127" t="s">
        <v>107</v>
      </c>
      <c r="F979" s="132">
        <f>F980</f>
        <v>258270.6</v>
      </c>
      <c r="G979" s="132">
        <f>G980</f>
        <v>251215.59999999998</v>
      </c>
      <c r="H979" s="132">
        <f>H980</f>
        <v>248638.69999999998</v>
      </c>
      <c r="I979" s="121">
        <f t="shared" si="136"/>
        <v>96.27061694207548</v>
      </c>
      <c r="J979" s="121">
        <f t="shared" si="137"/>
        <v>98.97422771515781</v>
      </c>
    </row>
    <row r="980" spans="1:10" ht="60">
      <c r="A980" s="129" t="s">
        <v>387</v>
      </c>
      <c r="B980" s="127" t="s">
        <v>1695</v>
      </c>
      <c r="C980" s="127" t="s">
        <v>1594</v>
      </c>
      <c r="D980" s="124" t="s">
        <v>529</v>
      </c>
      <c r="E980" s="127" t="s">
        <v>2</v>
      </c>
      <c r="F980" s="135">
        <f>F982+F981+F983</f>
        <v>258270.6</v>
      </c>
      <c r="G980" s="135">
        <f>G982+G981+G983</f>
        <v>251215.59999999998</v>
      </c>
      <c r="H980" s="135">
        <f>H982+H981+H983</f>
        <v>248638.69999999998</v>
      </c>
      <c r="I980" s="121">
        <f t="shared" si="136"/>
        <v>96.27061694207548</v>
      </c>
      <c r="J980" s="121">
        <f t="shared" si="137"/>
        <v>98.97422771515781</v>
      </c>
    </row>
    <row r="981" spans="1:10" ht="51" customHeight="1">
      <c r="A981" s="178" t="s">
        <v>1680</v>
      </c>
      <c r="B981" s="127" t="s">
        <v>1695</v>
      </c>
      <c r="C981" s="127" t="s">
        <v>1594</v>
      </c>
      <c r="D981" s="124" t="s">
        <v>529</v>
      </c>
      <c r="E981" s="127" t="s">
        <v>2</v>
      </c>
      <c r="F981" s="135">
        <v>1920</v>
      </c>
      <c r="G981" s="135">
        <v>1920</v>
      </c>
      <c r="H981" s="135">
        <v>0</v>
      </c>
      <c r="I981" s="121">
        <f t="shared" si="136"/>
        <v>0</v>
      </c>
      <c r="J981" s="121">
        <f t="shared" si="137"/>
        <v>0</v>
      </c>
    </row>
    <row r="982" spans="1:10" ht="83.25" customHeight="1">
      <c r="A982" s="178" t="s">
        <v>1710</v>
      </c>
      <c r="B982" s="127" t="s">
        <v>1695</v>
      </c>
      <c r="C982" s="127" t="s">
        <v>1594</v>
      </c>
      <c r="D982" s="124" t="s">
        <v>529</v>
      </c>
      <c r="E982" s="127" t="s">
        <v>2</v>
      </c>
      <c r="F982" s="135">
        <v>256350.6</v>
      </c>
      <c r="G982" s="135">
        <f>281692.8+8579.6-33921.8-7800</f>
        <v>248550.59999999998</v>
      </c>
      <c r="H982" s="135">
        <v>247894.4</v>
      </c>
      <c r="I982" s="121">
        <f t="shared" si="136"/>
        <v>96.70131452783805</v>
      </c>
      <c r="J982" s="121">
        <f t="shared" si="137"/>
        <v>99.73598937198301</v>
      </c>
    </row>
    <row r="983" spans="1:10" ht="60">
      <c r="A983" s="178" t="s">
        <v>884</v>
      </c>
      <c r="B983" s="127" t="s">
        <v>1695</v>
      </c>
      <c r="C983" s="127" t="s">
        <v>1594</v>
      </c>
      <c r="D983" s="124" t="s">
        <v>529</v>
      </c>
      <c r="E983" s="127" t="s">
        <v>2</v>
      </c>
      <c r="F983" s="135">
        <v>0</v>
      </c>
      <c r="G983" s="135">
        <f>1000-255</f>
        <v>745</v>
      </c>
      <c r="H983" s="135">
        <v>744.3</v>
      </c>
      <c r="I983" s="121">
        <v>0</v>
      </c>
      <c r="J983" s="121">
        <f t="shared" si="137"/>
        <v>99.90604026845637</v>
      </c>
    </row>
    <row r="984" spans="1:10" ht="32.25" customHeight="1">
      <c r="A984" s="129" t="s">
        <v>752</v>
      </c>
      <c r="B984" s="127" t="s">
        <v>1695</v>
      </c>
      <c r="C984" s="127" t="s">
        <v>1594</v>
      </c>
      <c r="D984" s="124" t="s">
        <v>877</v>
      </c>
      <c r="E984" s="127" t="s">
        <v>751</v>
      </c>
      <c r="F984" s="132">
        <f aca="true" t="shared" si="138" ref="F984:H985">F985</f>
        <v>0</v>
      </c>
      <c r="G984" s="132">
        <f t="shared" si="138"/>
        <v>1136</v>
      </c>
      <c r="H984" s="132">
        <f t="shared" si="138"/>
        <v>0</v>
      </c>
      <c r="I984" s="121">
        <v>0</v>
      </c>
      <c r="J984" s="121">
        <f t="shared" si="137"/>
        <v>0</v>
      </c>
    </row>
    <row r="985" spans="1:10" ht="24" customHeight="1">
      <c r="A985" s="134" t="s">
        <v>18</v>
      </c>
      <c r="B985" s="127" t="s">
        <v>1695</v>
      </c>
      <c r="C985" s="127" t="s">
        <v>1594</v>
      </c>
      <c r="D985" s="124" t="s">
        <v>877</v>
      </c>
      <c r="E985" s="127" t="s">
        <v>1436</v>
      </c>
      <c r="F985" s="132">
        <f t="shared" si="138"/>
        <v>0</v>
      </c>
      <c r="G985" s="132">
        <f t="shared" si="138"/>
        <v>1136</v>
      </c>
      <c r="H985" s="132">
        <f t="shared" si="138"/>
        <v>0</v>
      </c>
      <c r="I985" s="121">
        <v>0</v>
      </c>
      <c r="J985" s="121">
        <f t="shared" si="137"/>
        <v>0</v>
      </c>
    </row>
    <row r="986" spans="1:10" ht="102.75" customHeight="1">
      <c r="A986" s="129" t="s">
        <v>1545</v>
      </c>
      <c r="B986" s="127" t="s">
        <v>1695</v>
      </c>
      <c r="C986" s="127" t="s">
        <v>1594</v>
      </c>
      <c r="D986" s="124" t="s">
        <v>877</v>
      </c>
      <c r="E986" s="127" t="s">
        <v>1436</v>
      </c>
      <c r="F986" s="135">
        <v>0</v>
      </c>
      <c r="G986" s="135">
        <v>1136</v>
      </c>
      <c r="H986" s="135">
        <v>0</v>
      </c>
      <c r="I986" s="121">
        <v>0</v>
      </c>
      <c r="J986" s="121">
        <f t="shared" si="137"/>
        <v>0</v>
      </c>
    </row>
    <row r="987" spans="1:10" ht="36">
      <c r="A987" s="129" t="s">
        <v>752</v>
      </c>
      <c r="B987" s="127" t="s">
        <v>1695</v>
      </c>
      <c r="C987" s="127" t="s">
        <v>1594</v>
      </c>
      <c r="D987" s="124" t="s">
        <v>878</v>
      </c>
      <c r="E987" s="127" t="s">
        <v>751</v>
      </c>
      <c r="F987" s="132">
        <f aca="true" t="shared" si="139" ref="F987:H988">F988</f>
        <v>0</v>
      </c>
      <c r="G987" s="132">
        <f t="shared" si="139"/>
        <v>784</v>
      </c>
      <c r="H987" s="132">
        <f t="shared" si="139"/>
        <v>0</v>
      </c>
      <c r="I987" s="121">
        <v>0</v>
      </c>
      <c r="J987" s="121">
        <f t="shared" si="137"/>
        <v>0</v>
      </c>
    </row>
    <row r="988" spans="1:10" ht="24">
      <c r="A988" s="134" t="s">
        <v>18</v>
      </c>
      <c r="B988" s="127" t="s">
        <v>1695</v>
      </c>
      <c r="C988" s="127" t="s">
        <v>1594</v>
      </c>
      <c r="D988" s="124" t="s">
        <v>878</v>
      </c>
      <c r="E988" s="127" t="s">
        <v>1436</v>
      </c>
      <c r="F988" s="132">
        <f t="shared" si="139"/>
        <v>0</v>
      </c>
      <c r="G988" s="132">
        <f t="shared" si="139"/>
        <v>784</v>
      </c>
      <c r="H988" s="132">
        <f t="shared" si="139"/>
        <v>0</v>
      </c>
      <c r="I988" s="121">
        <v>0</v>
      </c>
      <c r="J988" s="121">
        <f t="shared" si="137"/>
        <v>0</v>
      </c>
    </row>
    <row r="989" spans="1:10" ht="95.25" customHeight="1">
      <c r="A989" s="178" t="s">
        <v>1546</v>
      </c>
      <c r="B989" s="127" t="s">
        <v>1695</v>
      </c>
      <c r="C989" s="127" t="s">
        <v>1594</v>
      </c>
      <c r="D989" s="124" t="s">
        <v>878</v>
      </c>
      <c r="E989" s="127" t="s">
        <v>879</v>
      </c>
      <c r="F989" s="135">
        <v>0</v>
      </c>
      <c r="G989" s="135">
        <f>784</f>
        <v>784</v>
      </c>
      <c r="H989" s="135">
        <v>0</v>
      </c>
      <c r="I989" s="121">
        <v>0</v>
      </c>
      <c r="J989" s="121">
        <f t="shared" si="137"/>
        <v>0</v>
      </c>
    </row>
    <row r="990" spans="1:10" ht="15.75">
      <c r="A990" s="139" t="s">
        <v>158</v>
      </c>
      <c r="B990" s="124" t="s">
        <v>1629</v>
      </c>
      <c r="C990" s="124"/>
      <c r="D990" s="124"/>
      <c r="E990" s="124"/>
      <c r="F990" s="145">
        <f>F991+F998</f>
        <v>19562</v>
      </c>
      <c r="G990" s="145">
        <f>G991+G998</f>
        <v>34632</v>
      </c>
      <c r="H990" s="145">
        <f>H991+H998</f>
        <v>33821.3</v>
      </c>
      <c r="I990" s="121">
        <f t="shared" si="136"/>
        <v>172.89285349146306</v>
      </c>
      <c r="J990" s="121">
        <f t="shared" si="137"/>
        <v>97.65910140910141</v>
      </c>
    </row>
    <row r="991" spans="1:10" ht="19.5" customHeight="1">
      <c r="A991" s="179" t="s">
        <v>74</v>
      </c>
      <c r="B991" s="124" t="s">
        <v>1629</v>
      </c>
      <c r="C991" s="124" t="s">
        <v>1594</v>
      </c>
      <c r="D991" s="123"/>
      <c r="E991" s="123"/>
      <c r="F991" s="132">
        <f aca="true" t="shared" si="140" ref="F991:H995">F992</f>
        <v>9350</v>
      </c>
      <c r="G991" s="132">
        <f t="shared" si="140"/>
        <v>9485</v>
      </c>
      <c r="H991" s="132">
        <f t="shared" si="140"/>
        <v>9485</v>
      </c>
      <c r="I991" s="121">
        <f t="shared" si="136"/>
        <v>101.44385026737967</v>
      </c>
      <c r="J991" s="121">
        <f t="shared" si="137"/>
        <v>100</v>
      </c>
    </row>
    <row r="992" spans="1:10" ht="36">
      <c r="A992" s="137" t="s">
        <v>1458</v>
      </c>
      <c r="B992" s="124" t="s">
        <v>1629</v>
      </c>
      <c r="C992" s="124" t="s">
        <v>1594</v>
      </c>
      <c r="D992" s="124" t="s">
        <v>1265</v>
      </c>
      <c r="E992" s="124"/>
      <c r="F992" s="132">
        <f t="shared" si="140"/>
        <v>9350</v>
      </c>
      <c r="G992" s="132">
        <f t="shared" si="140"/>
        <v>9485</v>
      </c>
      <c r="H992" s="132">
        <f t="shared" si="140"/>
        <v>9485</v>
      </c>
      <c r="I992" s="121">
        <f t="shared" si="136"/>
        <v>101.44385026737967</v>
      </c>
      <c r="J992" s="121">
        <f t="shared" si="137"/>
        <v>100</v>
      </c>
    </row>
    <row r="993" spans="1:10" ht="60">
      <c r="A993" s="129" t="s">
        <v>1058</v>
      </c>
      <c r="B993" s="124" t="s">
        <v>1629</v>
      </c>
      <c r="C993" s="124" t="s">
        <v>1594</v>
      </c>
      <c r="D993" s="124" t="s">
        <v>695</v>
      </c>
      <c r="E993" s="124"/>
      <c r="F993" s="132">
        <f t="shared" si="140"/>
        <v>9350</v>
      </c>
      <c r="G993" s="132">
        <f t="shared" si="140"/>
        <v>9485</v>
      </c>
      <c r="H993" s="132">
        <f t="shared" si="140"/>
        <v>9485</v>
      </c>
      <c r="I993" s="121">
        <f t="shared" si="136"/>
        <v>101.44385026737967</v>
      </c>
      <c r="J993" s="121">
        <f t="shared" si="137"/>
        <v>100</v>
      </c>
    </row>
    <row r="994" spans="1:10" ht="24">
      <c r="A994" s="134" t="s">
        <v>1600</v>
      </c>
      <c r="B994" s="124" t="s">
        <v>1629</v>
      </c>
      <c r="C994" s="124" t="s">
        <v>1594</v>
      </c>
      <c r="D994" s="124" t="s">
        <v>696</v>
      </c>
      <c r="E994" s="124"/>
      <c r="F994" s="132">
        <f t="shared" si="140"/>
        <v>9350</v>
      </c>
      <c r="G994" s="132">
        <f t="shared" si="140"/>
        <v>9485</v>
      </c>
      <c r="H994" s="132">
        <f t="shared" si="140"/>
        <v>9485</v>
      </c>
      <c r="I994" s="121">
        <f t="shared" si="136"/>
        <v>101.44385026737967</v>
      </c>
      <c r="J994" s="121">
        <f t="shared" si="137"/>
        <v>100</v>
      </c>
    </row>
    <row r="995" spans="1:10" ht="36">
      <c r="A995" s="129" t="s">
        <v>752</v>
      </c>
      <c r="B995" s="124" t="s">
        <v>1629</v>
      </c>
      <c r="C995" s="124" t="s">
        <v>1594</v>
      </c>
      <c r="D995" s="124" t="s">
        <v>696</v>
      </c>
      <c r="E995" s="124" t="s">
        <v>751</v>
      </c>
      <c r="F995" s="132">
        <f t="shared" si="140"/>
        <v>9350</v>
      </c>
      <c r="G995" s="132">
        <f t="shared" si="140"/>
        <v>9485</v>
      </c>
      <c r="H995" s="132">
        <f t="shared" si="140"/>
        <v>9485</v>
      </c>
      <c r="I995" s="121">
        <f t="shared" si="136"/>
        <v>101.44385026737967</v>
      </c>
      <c r="J995" s="121">
        <f t="shared" si="137"/>
        <v>100</v>
      </c>
    </row>
    <row r="996" spans="1:10" ht="24">
      <c r="A996" s="134" t="s">
        <v>18</v>
      </c>
      <c r="B996" s="124" t="s">
        <v>1629</v>
      </c>
      <c r="C996" s="124" t="s">
        <v>1594</v>
      </c>
      <c r="D996" s="124" t="s">
        <v>696</v>
      </c>
      <c r="E996" s="124" t="s">
        <v>1436</v>
      </c>
      <c r="F996" s="135">
        <f>9350</f>
        <v>9350</v>
      </c>
      <c r="G996" s="135">
        <f>9350+135</f>
        <v>9485</v>
      </c>
      <c r="H996" s="135">
        <f>9350+135</f>
        <v>9485</v>
      </c>
      <c r="I996" s="121">
        <f t="shared" si="136"/>
        <v>101.44385026737967</v>
      </c>
      <c r="J996" s="121">
        <f t="shared" si="137"/>
        <v>100</v>
      </c>
    </row>
    <row r="997" spans="1:10" ht="24">
      <c r="A997" s="134" t="s">
        <v>1483</v>
      </c>
      <c r="B997" s="124" t="s">
        <v>1629</v>
      </c>
      <c r="C997" s="124" t="s">
        <v>1594</v>
      </c>
      <c r="D997" s="124" t="s">
        <v>696</v>
      </c>
      <c r="E997" s="124" t="s">
        <v>1436</v>
      </c>
      <c r="F997" s="135">
        <v>0</v>
      </c>
      <c r="G997" s="135">
        <v>135</v>
      </c>
      <c r="H997" s="135">
        <v>135</v>
      </c>
      <c r="I997" s="121">
        <v>0</v>
      </c>
      <c r="J997" s="121">
        <f t="shared" si="137"/>
        <v>100</v>
      </c>
    </row>
    <row r="998" spans="1:10" ht="15" customHeight="1">
      <c r="A998" s="169" t="s">
        <v>75</v>
      </c>
      <c r="B998" s="124" t="s">
        <v>1629</v>
      </c>
      <c r="C998" s="124" t="s">
        <v>852</v>
      </c>
      <c r="D998" s="124"/>
      <c r="E998" s="124"/>
      <c r="F998" s="132">
        <f aca="true" t="shared" si="141" ref="F998:H1002">F999</f>
        <v>10212</v>
      </c>
      <c r="G998" s="132">
        <f t="shared" si="141"/>
        <v>25147</v>
      </c>
      <c r="H998" s="132">
        <f t="shared" si="141"/>
        <v>24336.3</v>
      </c>
      <c r="I998" s="121">
        <f t="shared" si="136"/>
        <v>238.31081081081084</v>
      </c>
      <c r="J998" s="121">
        <f t="shared" si="137"/>
        <v>96.77615620153497</v>
      </c>
    </row>
    <row r="999" spans="1:10" ht="36">
      <c r="A999" s="137" t="s">
        <v>1458</v>
      </c>
      <c r="B999" s="124" t="s">
        <v>1629</v>
      </c>
      <c r="C999" s="124" t="s">
        <v>852</v>
      </c>
      <c r="D999" s="124" t="s">
        <v>1265</v>
      </c>
      <c r="E999" s="124"/>
      <c r="F999" s="132">
        <f t="shared" si="141"/>
        <v>10212</v>
      </c>
      <c r="G999" s="132">
        <f t="shared" si="141"/>
        <v>25147</v>
      </c>
      <c r="H999" s="132">
        <f t="shared" si="141"/>
        <v>24336.3</v>
      </c>
      <c r="I999" s="121">
        <f t="shared" si="136"/>
        <v>238.31081081081084</v>
      </c>
      <c r="J999" s="121">
        <f t="shared" si="137"/>
        <v>96.77615620153497</v>
      </c>
    </row>
    <row r="1000" spans="1:10" ht="60">
      <c r="A1000" s="129" t="s">
        <v>1058</v>
      </c>
      <c r="B1000" s="124" t="s">
        <v>1629</v>
      </c>
      <c r="C1000" s="124" t="s">
        <v>852</v>
      </c>
      <c r="D1000" s="124" t="s">
        <v>695</v>
      </c>
      <c r="E1000" s="124"/>
      <c r="F1000" s="132">
        <f t="shared" si="141"/>
        <v>10212</v>
      </c>
      <c r="G1000" s="132">
        <f t="shared" si="141"/>
        <v>25147</v>
      </c>
      <c r="H1000" s="132">
        <f t="shared" si="141"/>
        <v>24336.3</v>
      </c>
      <c r="I1000" s="121">
        <f t="shared" si="136"/>
        <v>238.31081081081084</v>
      </c>
      <c r="J1000" s="121">
        <f t="shared" si="137"/>
        <v>96.77615620153497</v>
      </c>
    </row>
    <row r="1001" spans="1:10" ht="26.25" customHeight="1">
      <c r="A1001" s="134" t="s">
        <v>1373</v>
      </c>
      <c r="B1001" s="124" t="s">
        <v>1629</v>
      </c>
      <c r="C1001" s="124" t="s">
        <v>852</v>
      </c>
      <c r="D1001" s="124" t="s">
        <v>458</v>
      </c>
      <c r="E1001" s="124"/>
      <c r="F1001" s="132">
        <f t="shared" si="141"/>
        <v>10212</v>
      </c>
      <c r="G1001" s="132">
        <f t="shared" si="141"/>
        <v>25147</v>
      </c>
      <c r="H1001" s="132">
        <f t="shared" si="141"/>
        <v>24336.3</v>
      </c>
      <c r="I1001" s="121">
        <f t="shared" si="136"/>
        <v>238.31081081081084</v>
      </c>
      <c r="J1001" s="121">
        <f t="shared" si="137"/>
        <v>96.77615620153497</v>
      </c>
    </row>
    <row r="1002" spans="1:10" ht="36">
      <c r="A1002" s="129" t="s">
        <v>752</v>
      </c>
      <c r="B1002" s="124" t="s">
        <v>1629</v>
      </c>
      <c r="C1002" s="124" t="s">
        <v>852</v>
      </c>
      <c r="D1002" s="124" t="s">
        <v>458</v>
      </c>
      <c r="E1002" s="124" t="s">
        <v>751</v>
      </c>
      <c r="F1002" s="132">
        <f t="shared" si="141"/>
        <v>10212</v>
      </c>
      <c r="G1002" s="132">
        <f t="shared" si="141"/>
        <v>25147</v>
      </c>
      <c r="H1002" s="132">
        <f t="shared" si="141"/>
        <v>24336.3</v>
      </c>
      <c r="I1002" s="121">
        <f t="shared" si="136"/>
        <v>238.31081081081084</v>
      </c>
      <c r="J1002" s="121">
        <f t="shared" si="137"/>
        <v>96.77615620153497</v>
      </c>
    </row>
    <row r="1003" spans="1:10" ht="24">
      <c r="A1003" s="134" t="s">
        <v>18</v>
      </c>
      <c r="B1003" s="124" t="s">
        <v>1629</v>
      </c>
      <c r="C1003" s="124" t="s">
        <v>852</v>
      </c>
      <c r="D1003" s="124" t="s">
        <v>458</v>
      </c>
      <c r="E1003" s="124" t="s">
        <v>1436</v>
      </c>
      <c r="F1003" s="135">
        <f>10212+F1005+F1006</f>
        <v>10212</v>
      </c>
      <c r="G1003" s="135">
        <f>10212+3360+G1005+4890+G1006+617+3500</f>
        <v>25147</v>
      </c>
      <c r="H1003" s="135">
        <v>24336.3</v>
      </c>
      <c r="I1003" s="121">
        <f t="shared" si="136"/>
        <v>238.31081081081084</v>
      </c>
      <c r="J1003" s="121">
        <f t="shared" si="137"/>
        <v>96.77615620153497</v>
      </c>
    </row>
    <row r="1004" spans="1:10" ht="36">
      <c r="A1004" s="134" t="s">
        <v>21</v>
      </c>
      <c r="B1004" s="124" t="s">
        <v>1629</v>
      </c>
      <c r="C1004" s="124" t="s">
        <v>852</v>
      </c>
      <c r="D1004" s="124" t="s">
        <v>458</v>
      </c>
      <c r="E1004" s="124" t="s">
        <v>1436</v>
      </c>
      <c r="F1004" s="135">
        <f>7622</f>
        <v>7622</v>
      </c>
      <c r="G1004" s="135">
        <f>7622+4890</f>
        <v>12512</v>
      </c>
      <c r="H1004" s="135">
        <v>11711.4</v>
      </c>
      <c r="I1004" s="121">
        <f t="shared" si="136"/>
        <v>153.6525846234584</v>
      </c>
      <c r="J1004" s="121">
        <f t="shared" si="137"/>
        <v>93.60134271099744</v>
      </c>
    </row>
    <row r="1005" spans="1:10" ht="36">
      <c r="A1005" s="134" t="s">
        <v>1547</v>
      </c>
      <c r="B1005" s="124" t="s">
        <v>1629</v>
      </c>
      <c r="C1005" s="124" t="s">
        <v>852</v>
      </c>
      <c r="D1005" s="124" t="s">
        <v>458</v>
      </c>
      <c r="E1005" s="124" t="s">
        <v>1436</v>
      </c>
      <c r="F1005" s="135">
        <v>0</v>
      </c>
      <c r="G1005" s="135">
        <v>2143</v>
      </c>
      <c r="H1005" s="135">
        <v>2143</v>
      </c>
      <c r="I1005" s="121">
        <v>0</v>
      </c>
      <c r="J1005" s="121">
        <f t="shared" si="137"/>
        <v>100</v>
      </c>
    </row>
    <row r="1006" spans="1:10" ht="36">
      <c r="A1006" s="134" t="s">
        <v>1548</v>
      </c>
      <c r="B1006" s="124" t="s">
        <v>1629</v>
      </c>
      <c r="C1006" s="124" t="s">
        <v>852</v>
      </c>
      <c r="D1006" s="124" t="s">
        <v>458</v>
      </c>
      <c r="E1006" s="124" t="s">
        <v>1436</v>
      </c>
      <c r="F1006" s="135">
        <v>0</v>
      </c>
      <c r="G1006" s="135">
        <v>425</v>
      </c>
      <c r="H1006" s="135">
        <v>424.9</v>
      </c>
      <c r="I1006" s="121">
        <v>0</v>
      </c>
      <c r="J1006" s="121">
        <f t="shared" si="137"/>
        <v>99.97647058823529</v>
      </c>
    </row>
    <row r="1007" spans="1:10" ht="24">
      <c r="A1007" s="133" t="s">
        <v>840</v>
      </c>
      <c r="B1007" s="124" t="s">
        <v>1296</v>
      </c>
      <c r="C1007" s="124" t="s">
        <v>1621</v>
      </c>
      <c r="D1007" s="124"/>
      <c r="E1007" s="124"/>
      <c r="F1007" s="145">
        <f>F1008</f>
        <v>130000</v>
      </c>
      <c r="G1007" s="145">
        <f>G1008</f>
        <v>0</v>
      </c>
      <c r="H1007" s="145">
        <f>H1008</f>
        <v>0</v>
      </c>
      <c r="I1007" s="121">
        <f t="shared" si="136"/>
        <v>0</v>
      </c>
      <c r="J1007" s="121">
        <v>0</v>
      </c>
    </row>
    <row r="1008" spans="1:10" ht="24">
      <c r="A1008" s="137" t="s">
        <v>157</v>
      </c>
      <c r="B1008" s="124" t="s">
        <v>1296</v>
      </c>
      <c r="C1008" s="124" t="s">
        <v>1594</v>
      </c>
      <c r="D1008" s="124" t="s">
        <v>1340</v>
      </c>
      <c r="E1008" s="124"/>
      <c r="F1008" s="132">
        <f>F1009+F1011</f>
        <v>130000</v>
      </c>
      <c r="G1008" s="132">
        <f>G1009+G1011</f>
        <v>0</v>
      </c>
      <c r="H1008" s="132">
        <f>H1009+H1011</f>
        <v>0</v>
      </c>
      <c r="I1008" s="121">
        <f t="shared" si="136"/>
        <v>0</v>
      </c>
      <c r="J1008" s="609">
        <v>0</v>
      </c>
    </row>
    <row r="1009" spans="1:10" ht="24">
      <c r="A1009" s="129" t="s">
        <v>746</v>
      </c>
      <c r="B1009" s="124" t="s">
        <v>1296</v>
      </c>
      <c r="C1009" s="124" t="s">
        <v>1594</v>
      </c>
      <c r="D1009" s="124" t="s">
        <v>1340</v>
      </c>
      <c r="E1009" s="124" t="s">
        <v>108</v>
      </c>
      <c r="F1009" s="132">
        <f>F1010</f>
        <v>30000</v>
      </c>
      <c r="G1009" s="132">
        <f>G1010</f>
        <v>0</v>
      </c>
      <c r="H1009" s="132">
        <f>H1010</f>
        <v>0</v>
      </c>
      <c r="I1009" s="121">
        <f t="shared" si="136"/>
        <v>0</v>
      </c>
      <c r="J1009" s="609"/>
    </row>
    <row r="1010" spans="1:10" ht="12.75" customHeight="1">
      <c r="A1010" s="134" t="s">
        <v>1234</v>
      </c>
      <c r="B1010" s="124" t="s">
        <v>1296</v>
      </c>
      <c r="C1010" s="124" t="s">
        <v>1594</v>
      </c>
      <c r="D1010" s="124" t="s">
        <v>1340</v>
      </c>
      <c r="E1010" s="124" t="s">
        <v>1520</v>
      </c>
      <c r="F1010" s="135">
        <f>30000</f>
        <v>30000</v>
      </c>
      <c r="G1010" s="135">
        <f>30000-15000-15000</f>
        <v>0</v>
      </c>
      <c r="H1010" s="135">
        <f>30000-15000-15000</f>
        <v>0</v>
      </c>
      <c r="I1010" s="121">
        <f t="shared" si="136"/>
        <v>0</v>
      </c>
      <c r="J1010" s="609"/>
    </row>
    <row r="1011" spans="1:10" ht="13.5" customHeight="1">
      <c r="A1011" s="130" t="s">
        <v>910</v>
      </c>
      <c r="B1011" s="124" t="s">
        <v>1296</v>
      </c>
      <c r="C1011" s="124" t="s">
        <v>1594</v>
      </c>
      <c r="D1011" s="124" t="s">
        <v>1340</v>
      </c>
      <c r="E1011" s="124" t="s">
        <v>911</v>
      </c>
      <c r="F1011" s="132">
        <f>F1012</f>
        <v>100000</v>
      </c>
      <c r="G1011" s="132">
        <f>G1012</f>
        <v>0</v>
      </c>
      <c r="H1011" s="132">
        <f>H1012</f>
        <v>0</v>
      </c>
      <c r="I1011" s="121">
        <f t="shared" si="136"/>
        <v>0</v>
      </c>
      <c r="J1011" s="609"/>
    </row>
    <row r="1012" spans="1:10" ht="48">
      <c r="A1012" s="134" t="s">
        <v>1690</v>
      </c>
      <c r="B1012" s="124" t="s">
        <v>1296</v>
      </c>
      <c r="C1012" s="124" t="s">
        <v>1594</v>
      </c>
      <c r="D1012" s="124" t="s">
        <v>1340</v>
      </c>
      <c r="E1012" s="124" t="s">
        <v>1632</v>
      </c>
      <c r="F1012" s="135">
        <f>100000</f>
        <v>100000</v>
      </c>
      <c r="G1012" s="135">
        <f>100000-16000-14000-70000</f>
        <v>0</v>
      </c>
      <c r="H1012" s="135">
        <f>100000-16000-14000-70000</f>
        <v>0</v>
      </c>
      <c r="I1012" s="121">
        <f t="shared" si="136"/>
        <v>0</v>
      </c>
      <c r="J1012" s="609"/>
    </row>
    <row r="1013" spans="1:10" ht="63.75">
      <c r="A1013" s="144" t="s">
        <v>1510</v>
      </c>
      <c r="B1013" s="123" t="s">
        <v>1422</v>
      </c>
      <c r="C1013" s="123"/>
      <c r="D1013" s="123"/>
      <c r="E1013" s="123"/>
      <c r="F1013" s="145">
        <f aca="true" t="shared" si="142" ref="F1013:H1016">F1014</f>
        <v>330108</v>
      </c>
      <c r="G1013" s="145">
        <f t="shared" si="142"/>
        <v>313214</v>
      </c>
      <c r="H1013" s="145">
        <f t="shared" si="142"/>
        <v>313214</v>
      </c>
      <c r="I1013" s="121">
        <f t="shared" si="136"/>
        <v>94.88228095047681</v>
      </c>
      <c r="J1013" s="121">
        <f t="shared" si="137"/>
        <v>100</v>
      </c>
    </row>
    <row r="1014" spans="1:10" ht="24">
      <c r="A1014" s="133" t="s">
        <v>35</v>
      </c>
      <c r="B1014" s="124" t="s">
        <v>1422</v>
      </c>
      <c r="C1014" s="124" t="s">
        <v>1627</v>
      </c>
      <c r="D1014" s="124"/>
      <c r="E1014" s="124"/>
      <c r="F1014" s="132">
        <f t="shared" si="142"/>
        <v>330108</v>
      </c>
      <c r="G1014" s="132">
        <f t="shared" si="142"/>
        <v>313214</v>
      </c>
      <c r="H1014" s="132">
        <f t="shared" si="142"/>
        <v>313214</v>
      </c>
      <c r="I1014" s="121">
        <f t="shared" si="136"/>
        <v>94.88228095047681</v>
      </c>
      <c r="J1014" s="121">
        <f t="shared" si="137"/>
        <v>100</v>
      </c>
    </row>
    <row r="1015" spans="1:10" ht="48">
      <c r="A1015" s="129" t="s">
        <v>630</v>
      </c>
      <c r="B1015" s="124" t="s">
        <v>1422</v>
      </c>
      <c r="C1015" s="124" t="s">
        <v>1627</v>
      </c>
      <c r="D1015" s="124" t="s">
        <v>1339</v>
      </c>
      <c r="E1015" s="124"/>
      <c r="F1015" s="132">
        <f t="shared" si="142"/>
        <v>330108</v>
      </c>
      <c r="G1015" s="132">
        <f t="shared" si="142"/>
        <v>313214</v>
      </c>
      <c r="H1015" s="132">
        <f t="shared" si="142"/>
        <v>313214</v>
      </c>
      <c r="I1015" s="121">
        <f t="shared" si="136"/>
        <v>94.88228095047681</v>
      </c>
      <c r="J1015" s="121">
        <f t="shared" si="137"/>
        <v>100</v>
      </c>
    </row>
    <row r="1016" spans="1:10" ht="15.75">
      <c r="A1016" s="129" t="s">
        <v>749</v>
      </c>
      <c r="B1016" s="124" t="s">
        <v>1422</v>
      </c>
      <c r="C1016" s="124" t="s">
        <v>1627</v>
      </c>
      <c r="D1016" s="124" t="s">
        <v>1339</v>
      </c>
      <c r="E1016" s="124" t="s">
        <v>747</v>
      </c>
      <c r="F1016" s="132">
        <f t="shared" si="142"/>
        <v>330108</v>
      </c>
      <c r="G1016" s="132">
        <f t="shared" si="142"/>
        <v>313214</v>
      </c>
      <c r="H1016" s="132">
        <f t="shared" si="142"/>
        <v>313214</v>
      </c>
      <c r="I1016" s="121">
        <f t="shared" si="136"/>
        <v>94.88228095047681</v>
      </c>
      <c r="J1016" s="121">
        <f t="shared" si="137"/>
        <v>100</v>
      </c>
    </row>
    <row r="1017" spans="1:10" ht="15.75">
      <c r="A1017" s="129" t="s">
        <v>750</v>
      </c>
      <c r="B1017" s="124" t="s">
        <v>1422</v>
      </c>
      <c r="C1017" s="124" t="s">
        <v>1627</v>
      </c>
      <c r="D1017" s="124" t="s">
        <v>1339</v>
      </c>
      <c r="E1017" s="124" t="s">
        <v>748</v>
      </c>
      <c r="F1017" s="135">
        <v>330108</v>
      </c>
      <c r="G1017" s="135">
        <f>252132+77976-16894</f>
        <v>313214</v>
      </c>
      <c r="H1017" s="135">
        <f>252132+77976-16894</f>
        <v>313214</v>
      </c>
      <c r="I1017" s="121">
        <f t="shared" si="136"/>
        <v>94.88228095047681</v>
      </c>
      <c r="J1017" s="121">
        <f t="shared" si="137"/>
        <v>100</v>
      </c>
    </row>
    <row r="1018" spans="1:10" ht="28.5" customHeight="1">
      <c r="A1018" s="615" t="s">
        <v>588</v>
      </c>
      <c r="B1018" s="615"/>
      <c r="C1018" s="615"/>
      <c r="D1018" s="615"/>
      <c r="E1018" s="615"/>
      <c r="F1018" s="615"/>
      <c r="G1018" s="615"/>
      <c r="H1018" s="615"/>
      <c r="I1018" s="615"/>
      <c r="J1018" s="615"/>
    </row>
    <row r="1019" spans="1:10" ht="15">
      <c r="A1019" s="59"/>
      <c r="G1019" s="106"/>
      <c r="H1019" s="106"/>
      <c r="I1019" s="13"/>
      <c r="J1019" s="13"/>
    </row>
    <row r="1020" spans="9:10" ht="15">
      <c r="I1020" s="13"/>
      <c r="J1020" s="13"/>
    </row>
    <row r="1021" spans="9:10" ht="15">
      <c r="I1021" s="13"/>
      <c r="J1021" s="13"/>
    </row>
    <row r="1022" spans="9:10" ht="15">
      <c r="I1022" s="13"/>
      <c r="J1022" s="13"/>
    </row>
    <row r="1023" spans="9:10" ht="15">
      <c r="I1023" s="13"/>
      <c r="J1023" s="13"/>
    </row>
    <row r="1024" spans="9:10" ht="15">
      <c r="I1024" s="13"/>
      <c r="J1024" s="13"/>
    </row>
    <row r="1025" spans="9:10" ht="15">
      <c r="I1025" s="13"/>
      <c r="J1025" s="13"/>
    </row>
    <row r="1026" spans="9:10" ht="15">
      <c r="I1026" s="13"/>
      <c r="J1026" s="13"/>
    </row>
    <row r="1027" spans="9:10" ht="15">
      <c r="I1027" s="13"/>
      <c r="J1027" s="13"/>
    </row>
    <row r="1028" spans="9:10" ht="15">
      <c r="I1028" s="13"/>
      <c r="J1028" s="13"/>
    </row>
    <row r="1029" spans="9:10" ht="15">
      <c r="I1029" s="13"/>
      <c r="J1029" s="13"/>
    </row>
    <row r="1030" spans="9:10" ht="15">
      <c r="I1030" s="13"/>
      <c r="J1030" s="13"/>
    </row>
    <row r="1031" spans="9:10" ht="15">
      <c r="I1031" s="13"/>
      <c r="J1031" s="13"/>
    </row>
    <row r="1032" spans="9:10" ht="15">
      <c r="I1032" s="13"/>
      <c r="J1032" s="13"/>
    </row>
    <row r="1033" spans="9:10" ht="15">
      <c r="I1033" s="13"/>
      <c r="J1033" s="13"/>
    </row>
    <row r="1034" spans="9:10" ht="15">
      <c r="I1034" s="13"/>
      <c r="J1034" s="13"/>
    </row>
    <row r="1035" spans="9:10" ht="15">
      <c r="I1035" s="13"/>
      <c r="J1035" s="13"/>
    </row>
    <row r="1036" spans="9:10" ht="15">
      <c r="I1036" s="13"/>
      <c r="J1036" s="13"/>
    </row>
    <row r="1037" spans="9:10" ht="15">
      <c r="I1037" s="13"/>
      <c r="J1037" s="13"/>
    </row>
    <row r="1038" spans="9:10" ht="15">
      <c r="I1038" s="13"/>
      <c r="J1038" s="13"/>
    </row>
    <row r="1039" spans="9:10" ht="15">
      <c r="I1039" s="13"/>
      <c r="J1039" s="13"/>
    </row>
    <row r="1040" spans="9:10" ht="15">
      <c r="I1040" s="13"/>
      <c r="J1040" s="13"/>
    </row>
    <row r="1041" spans="9:10" ht="15">
      <c r="I1041" s="13"/>
      <c r="J1041" s="13"/>
    </row>
    <row r="1042" spans="9:10" ht="15">
      <c r="I1042" s="13"/>
      <c r="J1042" s="13"/>
    </row>
    <row r="1043" spans="9:10" ht="15">
      <c r="I1043" s="13"/>
      <c r="J1043" s="13"/>
    </row>
    <row r="1044" spans="9:10" ht="15">
      <c r="I1044" s="13"/>
      <c r="J1044" s="13"/>
    </row>
    <row r="1045" spans="9:10" ht="15">
      <c r="I1045" s="13"/>
      <c r="J1045" s="13"/>
    </row>
    <row r="1046" spans="9:10" ht="15">
      <c r="I1046" s="13"/>
      <c r="J1046" s="13"/>
    </row>
    <row r="1047" spans="9:10" ht="15">
      <c r="I1047" s="13"/>
      <c r="J1047" s="13"/>
    </row>
    <row r="1048" spans="9:10" ht="15">
      <c r="I1048" s="13"/>
      <c r="J1048" s="13"/>
    </row>
    <row r="1049" spans="9:10" ht="15">
      <c r="I1049" s="13"/>
      <c r="J1049" s="13"/>
    </row>
    <row r="1050" spans="9:10" ht="15">
      <c r="I1050" s="13"/>
      <c r="J1050" s="13"/>
    </row>
    <row r="1051" spans="9:10" ht="15">
      <c r="I1051" s="13"/>
      <c r="J1051" s="13"/>
    </row>
    <row r="1052" spans="9:10" ht="15">
      <c r="I1052" s="13"/>
      <c r="J1052" s="13"/>
    </row>
    <row r="1053" spans="9:10" ht="15">
      <c r="I1053" s="13"/>
      <c r="J1053" s="13"/>
    </row>
    <row r="1054" spans="9:10" ht="15">
      <c r="I1054" s="13"/>
      <c r="J1054" s="13"/>
    </row>
    <row r="1055" spans="9:10" ht="15">
      <c r="I1055" s="13"/>
      <c r="J1055" s="13"/>
    </row>
    <row r="1056" spans="9:10" ht="15">
      <c r="I1056" s="13"/>
      <c r="J1056" s="13"/>
    </row>
    <row r="1057" spans="9:10" ht="15">
      <c r="I1057" s="13"/>
      <c r="J1057" s="13"/>
    </row>
    <row r="1058" spans="9:10" ht="15">
      <c r="I1058" s="13"/>
      <c r="J1058" s="13"/>
    </row>
    <row r="1059" spans="9:10" ht="15">
      <c r="I1059" s="13"/>
      <c r="J1059" s="13"/>
    </row>
    <row r="1060" spans="9:10" ht="15">
      <c r="I1060" s="13"/>
      <c r="J1060" s="13"/>
    </row>
    <row r="1061" spans="9:10" ht="15">
      <c r="I1061" s="13"/>
      <c r="J1061" s="13"/>
    </row>
    <row r="1062" spans="9:10" ht="15">
      <c r="I1062" s="13"/>
      <c r="J1062" s="13"/>
    </row>
    <row r="1063" spans="9:10" ht="15">
      <c r="I1063" s="13"/>
      <c r="J1063" s="13"/>
    </row>
    <row r="1064" spans="9:10" ht="15">
      <c r="I1064" s="13"/>
      <c r="J1064" s="13"/>
    </row>
    <row r="1065" spans="9:10" ht="15">
      <c r="I1065" s="13"/>
      <c r="J1065" s="13"/>
    </row>
    <row r="1066" spans="9:10" ht="15">
      <c r="I1066" s="13"/>
      <c r="J1066" s="13"/>
    </row>
    <row r="1067" spans="9:10" ht="15">
      <c r="I1067" s="13"/>
      <c r="J1067" s="13"/>
    </row>
    <row r="1068" spans="9:10" ht="15">
      <c r="I1068" s="13"/>
      <c r="J1068" s="13"/>
    </row>
    <row r="1069" spans="9:10" ht="15">
      <c r="I1069" s="13"/>
      <c r="J1069" s="13"/>
    </row>
    <row r="1070" spans="9:10" ht="15">
      <c r="I1070" s="13"/>
      <c r="J1070" s="13"/>
    </row>
    <row r="1071" spans="9:10" ht="15">
      <c r="I1071" s="13"/>
      <c r="J1071" s="13"/>
    </row>
    <row r="1072" spans="9:10" ht="15">
      <c r="I1072" s="13"/>
      <c r="J1072" s="13"/>
    </row>
    <row r="1073" spans="9:10" ht="15">
      <c r="I1073" s="13"/>
      <c r="J1073" s="13"/>
    </row>
    <row r="1074" spans="9:10" ht="15">
      <c r="I1074" s="13"/>
      <c r="J1074" s="13"/>
    </row>
    <row r="1075" spans="9:10" ht="15">
      <c r="I1075" s="13"/>
      <c r="J1075" s="13"/>
    </row>
    <row r="1076" spans="9:10" ht="15">
      <c r="I1076" s="13"/>
      <c r="J1076" s="13"/>
    </row>
    <row r="1077" spans="9:10" ht="15">
      <c r="I1077" s="13"/>
      <c r="J1077" s="13"/>
    </row>
    <row r="1078" spans="9:10" ht="15">
      <c r="I1078" s="13"/>
      <c r="J1078" s="13"/>
    </row>
    <row r="1079" spans="9:10" ht="15">
      <c r="I1079" s="13"/>
      <c r="J1079" s="13"/>
    </row>
    <row r="1080" spans="9:10" ht="15">
      <c r="I1080" s="13"/>
      <c r="J1080" s="13"/>
    </row>
    <row r="1081" spans="9:10" ht="15">
      <c r="I1081" s="13"/>
      <c r="J1081" s="13"/>
    </row>
    <row r="1082" spans="9:10" ht="15">
      <c r="I1082" s="13"/>
      <c r="J1082" s="13"/>
    </row>
    <row r="1083" spans="9:10" ht="15">
      <c r="I1083" s="13"/>
      <c r="J1083" s="13"/>
    </row>
    <row r="1084" spans="9:10" ht="15">
      <c r="I1084" s="13"/>
      <c r="J1084" s="13"/>
    </row>
    <row r="1085" spans="9:10" ht="15">
      <c r="I1085" s="13"/>
      <c r="J1085" s="13"/>
    </row>
    <row r="1086" spans="9:10" ht="15">
      <c r="I1086" s="13"/>
      <c r="J1086" s="13"/>
    </row>
    <row r="1087" spans="9:10" ht="15">
      <c r="I1087" s="13"/>
      <c r="J1087" s="13"/>
    </row>
    <row r="1088" spans="9:10" ht="15">
      <c r="I1088" s="13"/>
      <c r="J1088" s="13"/>
    </row>
    <row r="1089" spans="9:10" ht="15">
      <c r="I1089" s="13"/>
      <c r="J1089" s="13"/>
    </row>
    <row r="1090" spans="9:10" ht="15">
      <c r="I1090" s="13"/>
      <c r="J1090" s="13"/>
    </row>
    <row r="1091" spans="9:10" ht="15">
      <c r="I1091" s="13"/>
      <c r="J1091" s="13"/>
    </row>
    <row r="1092" spans="9:10" ht="15">
      <c r="I1092" s="13"/>
      <c r="J1092" s="13"/>
    </row>
    <row r="1093" spans="9:10" ht="15">
      <c r="I1093" s="13"/>
      <c r="J1093" s="13"/>
    </row>
    <row r="1094" spans="9:10" ht="15">
      <c r="I1094" s="13"/>
      <c r="J1094" s="13"/>
    </row>
    <row r="1095" spans="9:10" ht="15">
      <c r="I1095" s="13"/>
      <c r="J1095" s="13"/>
    </row>
    <row r="1096" spans="9:10" ht="15">
      <c r="I1096" s="13"/>
      <c r="J1096" s="13"/>
    </row>
    <row r="1097" spans="9:10" ht="15">
      <c r="I1097" s="13"/>
      <c r="J1097" s="13"/>
    </row>
    <row r="1098" spans="9:10" ht="15">
      <c r="I1098" s="13"/>
      <c r="J1098" s="13"/>
    </row>
    <row r="1099" spans="9:10" ht="15">
      <c r="I1099" s="13"/>
      <c r="J1099" s="13"/>
    </row>
    <row r="1100" spans="9:10" ht="15">
      <c r="I1100" s="13"/>
      <c r="J1100" s="13"/>
    </row>
    <row r="1101" spans="9:10" ht="15">
      <c r="I1101" s="13"/>
      <c r="J1101" s="13"/>
    </row>
    <row r="1102" spans="9:10" ht="15">
      <c r="I1102" s="13"/>
      <c r="J1102" s="13"/>
    </row>
    <row r="1103" spans="9:10" ht="15">
      <c r="I1103" s="13"/>
      <c r="J1103" s="13"/>
    </row>
    <row r="1104" spans="9:10" ht="15">
      <c r="I1104" s="13"/>
      <c r="J1104" s="13"/>
    </row>
    <row r="1105" spans="9:10" ht="15">
      <c r="I1105" s="13"/>
      <c r="J1105" s="13"/>
    </row>
    <row r="1106" spans="9:10" ht="15">
      <c r="I1106" s="13"/>
      <c r="J1106" s="13"/>
    </row>
    <row r="1107" spans="9:10" ht="15">
      <c r="I1107" s="13"/>
      <c r="J1107" s="13"/>
    </row>
    <row r="1108" spans="9:10" ht="15">
      <c r="I1108" s="13"/>
      <c r="J1108" s="13"/>
    </row>
    <row r="1109" spans="9:10" ht="15">
      <c r="I1109" s="13"/>
      <c r="J1109" s="13"/>
    </row>
    <row r="1110" spans="9:10" ht="15">
      <c r="I1110" s="13"/>
      <c r="J1110" s="13"/>
    </row>
    <row r="1111" spans="9:10" ht="15">
      <c r="I1111" s="13"/>
      <c r="J1111" s="13"/>
    </row>
    <row r="1112" spans="9:10" ht="15">
      <c r="I1112" s="13"/>
      <c r="J1112" s="13"/>
    </row>
    <row r="1113" spans="9:10" ht="15">
      <c r="I1113" s="13"/>
      <c r="J1113" s="13"/>
    </row>
    <row r="1114" spans="9:10" ht="15">
      <c r="I1114" s="13"/>
      <c r="J1114" s="13"/>
    </row>
    <row r="1115" spans="9:10" ht="15">
      <c r="I1115" s="13"/>
      <c r="J1115" s="13"/>
    </row>
    <row r="1116" spans="9:10" ht="15">
      <c r="I1116" s="13"/>
      <c r="J1116" s="13"/>
    </row>
    <row r="1117" spans="9:10" ht="15">
      <c r="I1117" s="13"/>
      <c r="J1117" s="13"/>
    </row>
    <row r="1118" spans="9:10" ht="15">
      <c r="I1118" s="13"/>
      <c r="J1118" s="13"/>
    </row>
    <row r="1119" spans="9:10" ht="15">
      <c r="I1119" s="13"/>
      <c r="J1119" s="13"/>
    </row>
    <row r="1120" spans="9:10" ht="15">
      <c r="I1120" s="13"/>
      <c r="J1120" s="13"/>
    </row>
    <row r="1121" spans="9:10" ht="15">
      <c r="I1121" s="13"/>
      <c r="J1121" s="13"/>
    </row>
    <row r="1122" spans="9:10" ht="15">
      <c r="I1122" s="13"/>
      <c r="J1122" s="13"/>
    </row>
    <row r="1123" spans="9:10" ht="15">
      <c r="I1123" s="13"/>
      <c r="J1123" s="13"/>
    </row>
    <row r="1124" spans="9:10" ht="15">
      <c r="I1124" s="13"/>
      <c r="J1124" s="13"/>
    </row>
    <row r="1125" spans="9:10" ht="15">
      <c r="I1125" s="13"/>
      <c r="J1125" s="13"/>
    </row>
    <row r="1126" spans="9:10" ht="15">
      <c r="I1126" s="13"/>
      <c r="J1126" s="13"/>
    </row>
    <row r="1127" spans="9:10" ht="15">
      <c r="I1127" s="13"/>
      <c r="J1127" s="13"/>
    </row>
    <row r="1128" spans="9:10" ht="15">
      <c r="I1128" s="13"/>
      <c r="J1128" s="13"/>
    </row>
    <row r="1129" spans="9:10" ht="15">
      <c r="I1129" s="13"/>
      <c r="J1129" s="13"/>
    </row>
    <row r="1130" spans="9:10" ht="15">
      <c r="I1130" s="13"/>
      <c r="J1130" s="13"/>
    </row>
    <row r="1131" spans="9:10" ht="15">
      <c r="I1131" s="13"/>
      <c r="J1131" s="13"/>
    </row>
    <row r="1132" spans="9:10" ht="15">
      <c r="I1132" s="13"/>
      <c r="J1132" s="13"/>
    </row>
    <row r="1133" spans="9:10" ht="15">
      <c r="I1133" s="13"/>
      <c r="J1133" s="13"/>
    </row>
    <row r="1134" spans="9:10" ht="15">
      <c r="I1134" s="13"/>
      <c r="J1134" s="13"/>
    </row>
    <row r="1135" spans="9:10" ht="15">
      <c r="I1135" s="13"/>
      <c r="J1135" s="13"/>
    </row>
    <row r="1136" spans="9:10" ht="15">
      <c r="I1136" s="13"/>
      <c r="J1136" s="13"/>
    </row>
    <row r="1137" spans="9:10" ht="15">
      <c r="I1137" s="13"/>
      <c r="J1137" s="13"/>
    </row>
    <row r="1138" spans="9:10" ht="15">
      <c r="I1138" s="13"/>
      <c r="J1138" s="13"/>
    </row>
    <row r="1139" spans="9:10" ht="15">
      <c r="I1139" s="13"/>
      <c r="J1139" s="13"/>
    </row>
    <row r="1140" spans="9:10" ht="15">
      <c r="I1140" s="13"/>
      <c r="J1140" s="13"/>
    </row>
    <row r="1141" spans="9:10" ht="15">
      <c r="I1141" s="13"/>
      <c r="J1141" s="13"/>
    </row>
    <row r="1142" spans="9:10" ht="15">
      <c r="I1142" s="13"/>
      <c r="J1142" s="13"/>
    </row>
    <row r="1143" spans="9:10" ht="15">
      <c r="I1143" s="13"/>
      <c r="J1143" s="13"/>
    </row>
    <row r="1144" spans="9:10" ht="15">
      <c r="I1144" s="13"/>
      <c r="J1144" s="13"/>
    </row>
    <row r="1145" spans="9:10" ht="15">
      <c r="I1145" s="13"/>
      <c r="J1145" s="13"/>
    </row>
    <row r="1146" spans="9:10" ht="15">
      <c r="I1146" s="13"/>
      <c r="J1146" s="13"/>
    </row>
    <row r="1147" spans="9:10" ht="15">
      <c r="I1147" s="13"/>
      <c r="J1147" s="13"/>
    </row>
    <row r="1148" spans="9:10" ht="15">
      <c r="I1148" s="13"/>
      <c r="J1148" s="13"/>
    </row>
    <row r="1149" spans="9:10" ht="15">
      <c r="I1149" s="13"/>
      <c r="J1149" s="13"/>
    </row>
    <row r="1150" spans="9:10" ht="15">
      <c r="I1150" s="13"/>
      <c r="J1150" s="13"/>
    </row>
    <row r="1151" spans="9:10" ht="15">
      <c r="I1151" s="13"/>
      <c r="J1151" s="13"/>
    </row>
    <row r="1152" spans="9:10" ht="15">
      <c r="I1152" s="13"/>
      <c r="J1152" s="13"/>
    </row>
    <row r="1153" spans="9:10" ht="15">
      <c r="I1153" s="13"/>
      <c r="J1153" s="13"/>
    </row>
    <row r="1154" spans="9:10" ht="15">
      <c r="I1154" s="13"/>
      <c r="J1154" s="13"/>
    </row>
    <row r="1155" spans="9:10" ht="15">
      <c r="I1155" s="13"/>
      <c r="J1155" s="13"/>
    </row>
    <row r="1156" spans="9:10" ht="15">
      <c r="I1156" s="13"/>
      <c r="J1156" s="13"/>
    </row>
    <row r="1157" spans="9:10" ht="15">
      <c r="I1157" s="13"/>
      <c r="J1157" s="13"/>
    </row>
    <row r="1158" spans="9:10" ht="15">
      <c r="I1158" s="13"/>
      <c r="J1158" s="13"/>
    </row>
    <row r="1159" spans="9:10" ht="15">
      <c r="I1159" s="13"/>
      <c r="J1159" s="13"/>
    </row>
    <row r="1160" spans="9:10" ht="15">
      <c r="I1160" s="13"/>
      <c r="J1160" s="13"/>
    </row>
    <row r="1161" spans="9:10" ht="15">
      <c r="I1161" s="13"/>
      <c r="J1161" s="13"/>
    </row>
    <row r="1162" spans="9:10" ht="15">
      <c r="I1162" s="13"/>
      <c r="J1162" s="13"/>
    </row>
    <row r="1163" spans="9:10" ht="15">
      <c r="I1163" s="13"/>
      <c r="J1163" s="13"/>
    </row>
    <row r="1164" spans="9:10" ht="15">
      <c r="I1164" s="13"/>
      <c r="J1164" s="13"/>
    </row>
    <row r="1165" spans="9:10" ht="15">
      <c r="I1165" s="13"/>
      <c r="J1165" s="13"/>
    </row>
    <row r="1166" spans="9:10" ht="15">
      <c r="I1166" s="13"/>
      <c r="J1166" s="13"/>
    </row>
    <row r="1167" spans="9:10" ht="15">
      <c r="I1167" s="13"/>
      <c r="J1167" s="13"/>
    </row>
    <row r="1168" spans="9:10" ht="15">
      <c r="I1168" s="13"/>
      <c r="J1168" s="13"/>
    </row>
    <row r="1169" spans="9:10" ht="15">
      <c r="I1169" s="13"/>
      <c r="J1169" s="13"/>
    </row>
    <row r="1170" spans="9:10" ht="15">
      <c r="I1170" s="13"/>
      <c r="J1170" s="13"/>
    </row>
    <row r="1171" spans="9:10" ht="15">
      <c r="I1171" s="13"/>
      <c r="J1171" s="13"/>
    </row>
    <row r="1172" spans="9:10" ht="15">
      <c r="I1172" s="13"/>
      <c r="J1172" s="13"/>
    </row>
    <row r="1173" spans="9:10" ht="15">
      <c r="I1173" s="13"/>
      <c r="J1173" s="13"/>
    </row>
    <row r="1174" spans="9:10" ht="15">
      <c r="I1174" s="13"/>
      <c r="J1174" s="13"/>
    </row>
    <row r="1175" spans="9:10" ht="15">
      <c r="I1175" s="13"/>
      <c r="J1175" s="13"/>
    </row>
    <row r="1176" spans="9:10" ht="15">
      <c r="I1176" s="13"/>
      <c r="J1176" s="13"/>
    </row>
    <row r="1177" spans="9:10" ht="15">
      <c r="I1177" s="13"/>
      <c r="J1177" s="13"/>
    </row>
    <row r="1178" spans="9:10" ht="15">
      <c r="I1178" s="13"/>
      <c r="J1178" s="13"/>
    </row>
    <row r="1179" spans="9:10" ht="15">
      <c r="I1179" s="13"/>
      <c r="J1179" s="13"/>
    </row>
    <row r="1180" spans="9:10" ht="15">
      <c r="I1180" s="13"/>
      <c r="J1180" s="13"/>
    </row>
    <row r="1181" spans="9:10" ht="15">
      <c r="I1181" s="13"/>
      <c r="J1181" s="13"/>
    </row>
    <row r="1182" spans="9:10" ht="15">
      <c r="I1182" s="13"/>
      <c r="J1182" s="13"/>
    </row>
    <row r="1183" spans="9:10" ht="15">
      <c r="I1183" s="13"/>
      <c r="J1183" s="13"/>
    </row>
    <row r="1184" spans="9:10" ht="15">
      <c r="I1184" s="13"/>
      <c r="J1184" s="13"/>
    </row>
    <row r="1185" spans="9:10" ht="15">
      <c r="I1185" s="13"/>
      <c r="J1185" s="13"/>
    </row>
    <row r="1186" spans="9:10" ht="15">
      <c r="I1186" s="13"/>
      <c r="J1186" s="13"/>
    </row>
    <row r="1187" spans="9:10" ht="15">
      <c r="I1187" s="13"/>
      <c r="J1187" s="13"/>
    </row>
    <row r="1188" spans="9:10" ht="15">
      <c r="I1188" s="13"/>
      <c r="J1188" s="13"/>
    </row>
    <row r="1189" spans="9:10" ht="15">
      <c r="I1189" s="13"/>
      <c r="J1189" s="13"/>
    </row>
    <row r="1190" spans="9:10" ht="15">
      <c r="I1190" s="13"/>
      <c r="J1190" s="13"/>
    </row>
    <row r="1191" spans="9:10" ht="15">
      <c r="I1191" s="13"/>
      <c r="J1191" s="13"/>
    </row>
    <row r="1192" spans="9:10" ht="15">
      <c r="I1192" s="13"/>
      <c r="J1192" s="13"/>
    </row>
    <row r="1193" spans="9:10" ht="15">
      <c r="I1193" s="13"/>
      <c r="J1193" s="13"/>
    </row>
    <row r="1194" spans="9:10" ht="15">
      <c r="I1194" s="13"/>
      <c r="J1194" s="13"/>
    </row>
    <row r="1195" spans="9:10" ht="15">
      <c r="I1195" s="13"/>
      <c r="J1195" s="13"/>
    </row>
    <row r="1196" spans="9:10" ht="15">
      <c r="I1196" s="13"/>
      <c r="J1196" s="13"/>
    </row>
    <row r="1197" spans="9:10" ht="15">
      <c r="I1197" s="13"/>
      <c r="J1197" s="13"/>
    </row>
    <row r="1198" spans="9:10" ht="15">
      <c r="I1198" s="13"/>
      <c r="J1198" s="13"/>
    </row>
    <row r="1199" spans="9:10" ht="15">
      <c r="I1199" s="13"/>
      <c r="J1199" s="13"/>
    </row>
    <row r="1200" spans="9:10" ht="15">
      <c r="I1200" s="13"/>
      <c r="J1200" s="13"/>
    </row>
    <row r="1201" spans="9:10" ht="15">
      <c r="I1201" s="13"/>
      <c r="J1201" s="13"/>
    </row>
    <row r="1202" spans="9:10" ht="15">
      <c r="I1202" s="13"/>
      <c r="J1202" s="13"/>
    </row>
    <row r="1203" spans="9:10" ht="15">
      <c r="I1203" s="13"/>
      <c r="J1203" s="13"/>
    </row>
    <row r="1204" spans="9:10" ht="15">
      <c r="I1204" s="13"/>
      <c r="J1204" s="13"/>
    </row>
    <row r="1205" spans="9:10" ht="15">
      <c r="I1205" s="13"/>
      <c r="J1205" s="13"/>
    </row>
    <row r="1206" spans="9:10" ht="15">
      <c r="I1206" s="13"/>
      <c r="J1206" s="13"/>
    </row>
    <row r="1207" spans="9:10" ht="15">
      <c r="I1207" s="13"/>
      <c r="J1207" s="13"/>
    </row>
    <row r="1208" spans="9:10" ht="15">
      <c r="I1208" s="13"/>
      <c r="J1208" s="13"/>
    </row>
    <row r="1209" spans="9:10" ht="15">
      <c r="I1209" s="13"/>
      <c r="J1209" s="13"/>
    </row>
    <row r="1210" spans="9:10" ht="15">
      <c r="I1210" s="13"/>
      <c r="J1210" s="13"/>
    </row>
    <row r="1211" spans="9:10" ht="15">
      <c r="I1211" s="13"/>
      <c r="J1211" s="13"/>
    </row>
    <row r="1212" spans="9:10" ht="15">
      <c r="I1212" s="13"/>
      <c r="J1212" s="13"/>
    </row>
    <row r="1213" spans="9:10" ht="15">
      <c r="I1213" s="13"/>
      <c r="J1213" s="13"/>
    </row>
    <row r="1214" spans="9:10" ht="15">
      <c r="I1214" s="13"/>
      <c r="J1214" s="13"/>
    </row>
    <row r="1215" spans="9:10" ht="15">
      <c r="I1215" s="13"/>
      <c r="J1215" s="13"/>
    </row>
    <row r="1216" spans="9:10" ht="15">
      <c r="I1216" s="13"/>
      <c r="J1216" s="13"/>
    </row>
    <row r="1217" spans="9:10" ht="15">
      <c r="I1217" s="13"/>
      <c r="J1217" s="13"/>
    </row>
    <row r="1218" spans="9:10" ht="15">
      <c r="I1218" s="13"/>
      <c r="J1218" s="13"/>
    </row>
    <row r="1219" spans="9:10" ht="15">
      <c r="I1219" s="13"/>
      <c r="J1219" s="13"/>
    </row>
    <row r="1220" spans="9:10" ht="15">
      <c r="I1220" s="13"/>
      <c r="J1220" s="13"/>
    </row>
    <row r="1221" spans="9:10" ht="15">
      <c r="I1221" s="13"/>
      <c r="J1221" s="13"/>
    </row>
    <row r="1222" spans="9:10" ht="15">
      <c r="I1222" s="13"/>
      <c r="J1222" s="13"/>
    </row>
    <row r="1223" spans="9:10" ht="15">
      <c r="I1223" s="13"/>
      <c r="J1223" s="13"/>
    </row>
    <row r="1224" spans="9:10" ht="15">
      <c r="I1224" s="13"/>
      <c r="J1224" s="13"/>
    </row>
    <row r="1225" spans="9:10" ht="15">
      <c r="I1225" s="13"/>
      <c r="J1225" s="13"/>
    </row>
    <row r="1226" spans="9:10" ht="15">
      <c r="I1226" s="13"/>
      <c r="J1226" s="13"/>
    </row>
    <row r="1227" spans="9:10" ht="15">
      <c r="I1227" s="13"/>
      <c r="J1227" s="13"/>
    </row>
    <row r="1228" spans="9:10" ht="15">
      <c r="I1228" s="13"/>
      <c r="J1228" s="13"/>
    </row>
    <row r="1229" spans="9:10" ht="15">
      <c r="I1229" s="13"/>
      <c r="J1229" s="13"/>
    </row>
    <row r="1230" spans="9:10" ht="15">
      <c r="I1230" s="13"/>
      <c r="J1230" s="13"/>
    </row>
    <row r="1231" spans="9:10" ht="15">
      <c r="I1231" s="13"/>
      <c r="J1231" s="13"/>
    </row>
    <row r="1232" spans="9:10" ht="15">
      <c r="I1232" s="13"/>
      <c r="J1232" s="13"/>
    </row>
    <row r="1233" spans="9:10" ht="15">
      <c r="I1233" s="13"/>
      <c r="J1233" s="13"/>
    </row>
    <row r="1234" spans="9:10" ht="15">
      <c r="I1234" s="13"/>
      <c r="J1234" s="13"/>
    </row>
    <row r="1235" spans="9:10" ht="15">
      <c r="I1235" s="13"/>
      <c r="J1235" s="13"/>
    </row>
    <row r="1236" spans="9:10" ht="15">
      <c r="I1236" s="13"/>
      <c r="J1236" s="13"/>
    </row>
    <row r="1237" spans="9:10" ht="15">
      <c r="I1237" s="13"/>
      <c r="J1237" s="13"/>
    </row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</sheetData>
  <sheetProtection selectLockedCells="1" selectUnlockedCells="1"/>
  <mergeCells count="11">
    <mergeCell ref="H13:H14"/>
    <mergeCell ref="A7:J7"/>
    <mergeCell ref="A8:J8"/>
    <mergeCell ref="A9:J9"/>
    <mergeCell ref="A10:J10"/>
    <mergeCell ref="A1018:J1018"/>
    <mergeCell ref="A13:A14"/>
    <mergeCell ref="B13:E13"/>
    <mergeCell ref="G13:G14"/>
    <mergeCell ref="I13:J13"/>
    <mergeCell ref="F13:F14"/>
  </mergeCells>
  <printOptions/>
  <pageMargins left="0.7480314960629921" right="0.7480314960629921" top="0.6692913385826772" bottom="0.5118110236220472" header="0.5118110236220472" footer="0.5118110236220472"/>
  <pageSetup firstPageNumber="9" useFirstPageNumber="1" fitToHeight="0" fitToWidth="1" horizontalDpi="600" verticalDpi="600" orientation="portrait" paperSize="9" scale="65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7"/>
  <sheetViews>
    <sheetView view="pageBreakPreview" zoomScale="80" zoomScaleSheetLayoutView="80" zoomScalePageLayoutView="0" workbookViewId="0" topLeftCell="A1">
      <selection activeCell="L3" sqref="L3"/>
    </sheetView>
  </sheetViews>
  <sheetFormatPr defaultColWidth="9.50390625" defaultRowHeight="12.75"/>
  <cols>
    <col min="1" max="1" width="53.00390625" style="5" customWidth="1"/>
    <col min="2" max="2" width="4.50390625" style="6" customWidth="1"/>
    <col min="3" max="4" width="3.50390625" style="6" customWidth="1"/>
    <col min="5" max="5" width="9.50390625" style="6" customWidth="1"/>
    <col min="6" max="6" width="3.50390625" style="6" customWidth="1"/>
    <col min="7" max="7" width="13.375" style="6" customWidth="1"/>
    <col min="8" max="8" width="15.00390625" style="7" customWidth="1"/>
    <col min="9" max="9" width="13.50390625" style="9" hidden="1" customWidth="1"/>
    <col min="10" max="10" width="18.50390625" style="9" hidden="1" customWidth="1"/>
    <col min="11" max="11" width="13.00390625" style="223" customWidth="1"/>
    <col min="12" max="12" width="14.50390625" style="223" customWidth="1"/>
    <col min="13" max="13" width="14.50390625" style="224" customWidth="1"/>
    <col min="14" max="16" width="9.50390625" style="40" customWidth="1"/>
    <col min="17" max="17" width="7.50390625" style="40" customWidth="1"/>
    <col min="18" max="18" width="12.50390625" style="40" customWidth="1"/>
    <col min="19" max="19" width="13.50390625" style="9" customWidth="1"/>
    <col min="20" max="20" width="7.50390625" style="9" customWidth="1"/>
    <col min="21" max="21" width="15.50390625" style="9" customWidth="1"/>
    <col min="22" max="22" width="7.00390625" style="9" customWidth="1"/>
    <col min="23" max="23" width="18.00390625" style="9" customWidth="1"/>
    <col min="24" max="16384" width="9.50390625" style="9" customWidth="1"/>
  </cols>
  <sheetData>
    <row r="1" spans="12:15" ht="15">
      <c r="L1" s="8" t="s">
        <v>1478</v>
      </c>
      <c r="M1" s="6"/>
      <c r="N1" s="259"/>
      <c r="O1" s="259"/>
    </row>
    <row r="2" spans="12:15" ht="15">
      <c r="L2" s="8" t="s">
        <v>772</v>
      </c>
      <c r="M2" s="6"/>
      <c r="N2" s="259"/>
      <c r="O2" s="259"/>
    </row>
    <row r="3" spans="12:15" ht="15">
      <c r="L3" s="57" t="s">
        <v>1736</v>
      </c>
      <c r="M3" s="6"/>
      <c r="N3" s="259"/>
      <c r="O3" s="259"/>
    </row>
    <row r="4" spans="1:8" ht="15.75" customHeight="1">
      <c r="A4" s="107"/>
      <c r="B4" s="107"/>
      <c r="C4" s="107"/>
      <c r="D4" s="79"/>
      <c r="E4" s="107"/>
      <c r="F4" s="107"/>
      <c r="G4" s="107"/>
      <c r="H4" s="107"/>
    </row>
    <row r="5" spans="1:13" ht="15.75" customHeight="1">
      <c r="A5" s="613" t="s">
        <v>1476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1:13" ht="15.75">
      <c r="A6" s="633" t="s">
        <v>1477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</row>
    <row r="7" spans="1:8" ht="15" customHeight="1" thickBot="1">
      <c r="A7" s="9"/>
      <c r="B7" s="16"/>
      <c r="C7" s="10"/>
      <c r="D7" s="10"/>
      <c r="E7" s="10"/>
      <c r="F7" s="9"/>
      <c r="G7" s="9"/>
      <c r="H7" s="225" t="s">
        <v>773</v>
      </c>
    </row>
    <row r="8" spans="1:13" ht="15" customHeight="1">
      <c r="A8" s="636" t="s">
        <v>1338</v>
      </c>
      <c r="B8" s="627" t="s">
        <v>560</v>
      </c>
      <c r="C8" s="627" t="s">
        <v>1590</v>
      </c>
      <c r="D8" s="627" t="s">
        <v>1591</v>
      </c>
      <c r="E8" s="627" t="s">
        <v>1592</v>
      </c>
      <c r="F8" s="627" t="s">
        <v>1593</v>
      </c>
      <c r="G8" s="627" t="s">
        <v>1578</v>
      </c>
      <c r="H8" s="629" t="s">
        <v>1572</v>
      </c>
      <c r="I8" s="226"/>
      <c r="J8" s="226"/>
      <c r="K8" s="631" t="s">
        <v>1573</v>
      </c>
      <c r="L8" s="634" t="s">
        <v>1574</v>
      </c>
      <c r="M8" s="635"/>
    </row>
    <row r="9" spans="1:18" s="12" customFormat="1" ht="42.75" customHeight="1" thickBot="1">
      <c r="A9" s="637"/>
      <c r="B9" s="628"/>
      <c r="C9" s="628"/>
      <c r="D9" s="628"/>
      <c r="E9" s="628"/>
      <c r="F9" s="628"/>
      <c r="G9" s="628"/>
      <c r="H9" s="630"/>
      <c r="I9" s="227"/>
      <c r="J9" s="227"/>
      <c r="K9" s="632"/>
      <c r="L9" s="231" t="s">
        <v>1575</v>
      </c>
      <c r="M9" s="228" t="s">
        <v>1576</v>
      </c>
      <c r="N9" s="42"/>
      <c r="O9" s="42"/>
      <c r="P9" s="42"/>
      <c r="Q9" s="42"/>
      <c r="R9" s="42"/>
    </row>
    <row r="10" spans="1:19" ht="15.75">
      <c r="A10" s="197" t="s">
        <v>1423</v>
      </c>
      <c r="B10" s="198"/>
      <c r="C10" s="198"/>
      <c r="D10" s="198"/>
      <c r="E10" s="198"/>
      <c r="F10" s="198"/>
      <c r="G10" s="199">
        <f>G11+G245+G392+G992+G1011+G1022</f>
        <v>5737961.07</v>
      </c>
      <c r="H10" s="199">
        <f>H11+H245+H392+H992+H1011+H1022</f>
        <v>6382699.67</v>
      </c>
      <c r="I10" s="17">
        <v>3464482</v>
      </c>
      <c r="J10" s="20">
        <f>I10-H10</f>
        <v>-2918217.67</v>
      </c>
      <c r="K10" s="199">
        <f>K11+K245+K392+K992+K1011+K1022</f>
        <v>6157021.289999999</v>
      </c>
      <c r="L10" s="608">
        <f aca="true" t="shared" si="0" ref="L10:L20">K10/G10*100</f>
        <v>107.30329493155656</v>
      </c>
      <c r="M10" s="608">
        <f>K10/H10*100</f>
        <v>96.46421746802946</v>
      </c>
      <c r="R10" s="44"/>
      <c r="S10" s="20"/>
    </row>
    <row r="11" spans="1:13" ht="15.75">
      <c r="A11" s="181" t="s">
        <v>756</v>
      </c>
      <c r="B11" s="182" t="s">
        <v>1213</v>
      </c>
      <c r="C11" s="182"/>
      <c r="D11" s="182"/>
      <c r="E11" s="182"/>
      <c r="F11" s="182"/>
      <c r="G11" s="183">
        <f>G12+G230</f>
        <v>2724576</v>
      </c>
      <c r="H11" s="183">
        <f>H12+H230</f>
        <v>2777418.4999999995</v>
      </c>
      <c r="I11" s="78"/>
      <c r="K11" s="183">
        <f>K12+K230</f>
        <v>2690595.5000000005</v>
      </c>
      <c r="L11" s="606">
        <f t="shared" si="0"/>
        <v>98.75281511692097</v>
      </c>
      <c r="M11" s="607">
        <f>K11/H11*100</f>
        <v>96.87396767897964</v>
      </c>
    </row>
    <row r="12" spans="1:13" ht="15.75">
      <c r="A12" s="144" t="s">
        <v>1065</v>
      </c>
      <c r="B12" s="184" t="s">
        <v>1213</v>
      </c>
      <c r="C12" s="146" t="s">
        <v>1625</v>
      </c>
      <c r="D12" s="156"/>
      <c r="E12" s="156"/>
      <c r="F12" s="156"/>
      <c r="G12" s="1">
        <f>G13+G59+G186+G191+G210</f>
        <v>2669520</v>
      </c>
      <c r="H12" s="1">
        <f>H13+H59+H186+H191+H210</f>
        <v>2726740.4999999995</v>
      </c>
      <c r="K12" s="1">
        <f>K13+K59+K186+K191+K210</f>
        <v>2655493.4000000004</v>
      </c>
      <c r="L12" s="604">
        <f t="shared" si="0"/>
        <v>99.47456471575416</v>
      </c>
      <c r="M12" s="605">
        <f>K12/H12*100</f>
        <v>97.38709642520074</v>
      </c>
    </row>
    <row r="13" spans="1:13" ht="15">
      <c r="A13" s="133" t="s">
        <v>1066</v>
      </c>
      <c r="B13" s="184" t="s">
        <v>1213</v>
      </c>
      <c r="C13" s="124" t="s">
        <v>1625</v>
      </c>
      <c r="D13" s="124" t="s">
        <v>1594</v>
      </c>
      <c r="E13" s="157"/>
      <c r="F13" s="157"/>
      <c r="G13" s="132">
        <f>G14+G47+G52</f>
        <v>1119599</v>
      </c>
      <c r="H13" s="132">
        <f>H14+H47+H52</f>
        <v>1082393.7</v>
      </c>
      <c r="K13" s="132">
        <f>K14+K47+K52</f>
        <v>1067062.6</v>
      </c>
      <c r="L13" s="604">
        <f t="shared" si="0"/>
        <v>95.30756994245262</v>
      </c>
      <c r="M13" s="605">
        <f aca="true" t="shared" si="1" ref="M13:M76">K13/H13*100</f>
        <v>98.58359301241315</v>
      </c>
    </row>
    <row r="14" spans="1:13" ht="28.5" customHeight="1">
      <c r="A14" s="141" t="s">
        <v>802</v>
      </c>
      <c r="B14" s="184" t="s">
        <v>1213</v>
      </c>
      <c r="C14" s="124" t="s">
        <v>1625</v>
      </c>
      <c r="D14" s="124" t="s">
        <v>1594</v>
      </c>
      <c r="E14" s="124" t="s">
        <v>1717</v>
      </c>
      <c r="F14" s="157"/>
      <c r="G14" s="132">
        <f>G15</f>
        <v>1119599</v>
      </c>
      <c r="H14" s="132">
        <f>H15</f>
        <v>1080593.7</v>
      </c>
      <c r="K14" s="132">
        <f>K15</f>
        <v>1065298.8</v>
      </c>
      <c r="L14" s="604">
        <f t="shared" si="0"/>
        <v>95.15003139516917</v>
      </c>
      <c r="M14" s="605">
        <f t="shared" si="1"/>
        <v>98.5845836413816</v>
      </c>
    </row>
    <row r="15" spans="1:13" ht="24">
      <c r="A15" s="134" t="s">
        <v>1443</v>
      </c>
      <c r="B15" s="184" t="s">
        <v>1213</v>
      </c>
      <c r="C15" s="124" t="s">
        <v>1625</v>
      </c>
      <c r="D15" s="124" t="s">
        <v>1594</v>
      </c>
      <c r="E15" s="124" t="s">
        <v>549</v>
      </c>
      <c r="F15" s="124"/>
      <c r="G15" s="132">
        <f>G16+G22+G29+G46+G26</f>
        <v>1119599</v>
      </c>
      <c r="H15" s="132">
        <f>H16+H22+H29+H46+H26</f>
        <v>1080593.7</v>
      </c>
      <c r="K15" s="132">
        <f>K16+K22+K29+K46+K26</f>
        <v>1065298.8</v>
      </c>
      <c r="L15" s="604">
        <f t="shared" si="0"/>
        <v>95.15003139516917</v>
      </c>
      <c r="M15" s="605">
        <f t="shared" si="1"/>
        <v>98.5845836413816</v>
      </c>
    </row>
    <row r="16" spans="1:13" ht="84">
      <c r="A16" s="158" t="s">
        <v>68</v>
      </c>
      <c r="B16" s="184" t="s">
        <v>1213</v>
      </c>
      <c r="C16" s="124" t="s">
        <v>1625</v>
      </c>
      <c r="D16" s="124" t="s">
        <v>1594</v>
      </c>
      <c r="E16" s="124" t="s">
        <v>1444</v>
      </c>
      <c r="F16" s="124"/>
      <c r="G16" s="132">
        <f>G17</f>
        <v>500744</v>
      </c>
      <c r="H16" s="132">
        <f>H17</f>
        <v>500744</v>
      </c>
      <c r="K16" s="132">
        <f>K17</f>
        <v>495232.3</v>
      </c>
      <c r="L16" s="604">
        <f t="shared" si="0"/>
        <v>98.89929784480692</v>
      </c>
      <c r="M16" s="605">
        <f t="shared" si="1"/>
        <v>98.89929784480692</v>
      </c>
    </row>
    <row r="17" spans="1:13" ht="24">
      <c r="A17" s="129" t="s">
        <v>752</v>
      </c>
      <c r="B17" s="184" t="s">
        <v>1213</v>
      </c>
      <c r="C17" s="124" t="s">
        <v>1625</v>
      </c>
      <c r="D17" s="124" t="s">
        <v>1594</v>
      </c>
      <c r="E17" s="124" t="s">
        <v>1444</v>
      </c>
      <c r="F17" s="124" t="s">
        <v>751</v>
      </c>
      <c r="G17" s="132">
        <f>G19+G20</f>
        <v>500744</v>
      </c>
      <c r="H17" s="132">
        <f>H18+H20</f>
        <v>500744</v>
      </c>
      <c r="K17" s="132">
        <f>K18+K20</f>
        <v>495232.3</v>
      </c>
      <c r="L17" s="604">
        <f t="shared" si="0"/>
        <v>98.89929784480692</v>
      </c>
      <c r="M17" s="605">
        <f t="shared" si="1"/>
        <v>98.89929784480692</v>
      </c>
    </row>
    <row r="18" spans="1:13" ht="21" customHeight="1" hidden="1">
      <c r="A18" s="134" t="s">
        <v>1435</v>
      </c>
      <c r="B18" s="184" t="s">
        <v>1213</v>
      </c>
      <c r="C18" s="124" t="s">
        <v>1625</v>
      </c>
      <c r="D18" s="124" t="s">
        <v>1594</v>
      </c>
      <c r="E18" s="124" t="s">
        <v>1444</v>
      </c>
      <c r="F18" s="124" t="s">
        <v>1436</v>
      </c>
      <c r="G18" s="135">
        <f>31384-31384</f>
        <v>0</v>
      </c>
      <c r="H18" s="135">
        <f>31384-31384</f>
        <v>0</v>
      </c>
      <c r="K18" s="135">
        <f>31384-31384</f>
        <v>0</v>
      </c>
      <c r="L18" s="604" t="e">
        <f t="shared" si="0"/>
        <v>#DIV/0!</v>
      </c>
      <c r="M18" s="605" t="e">
        <f t="shared" si="1"/>
        <v>#DIV/0!</v>
      </c>
    </row>
    <row r="19" spans="1:13" ht="21" customHeight="1">
      <c r="A19" s="134" t="s">
        <v>1212</v>
      </c>
      <c r="B19" s="184" t="s">
        <v>1213</v>
      </c>
      <c r="C19" s="124" t="s">
        <v>1625</v>
      </c>
      <c r="D19" s="124" t="s">
        <v>1594</v>
      </c>
      <c r="E19" s="124" t="s">
        <v>1444</v>
      </c>
      <c r="F19" s="124" t="s">
        <v>1436</v>
      </c>
      <c r="G19" s="135">
        <v>31384</v>
      </c>
      <c r="H19" s="135"/>
      <c r="K19" s="135"/>
      <c r="L19" s="604">
        <f t="shared" si="0"/>
        <v>0</v>
      </c>
      <c r="M19" s="605">
        <v>0</v>
      </c>
    </row>
    <row r="20" spans="1:13" ht="18.75" customHeight="1">
      <c r="A20" s="134" t="s">
        <v>1687</v>
      </c>
      <c r="B20" s="184" t="s">
        <v>1213</v>
      </c>
      <c r="C20" s="124" t="s">
        <v>1625</v>
      </c>
      <c r="D20" s="124" t="s">
        <v>1594</v>
      </c>
      <c r="E20" s="124" t="s">
        <v>1444</v>
      </c>
      <c r="F20" s="124" t="s">
        <v>1502</v>
      </c>
      <c r="G20" s="135">
        <f>469360</f>
        <v>469360</v>
      </c>
      <c r="H20" s="135">
        <f>469360+31384</f>
        <v>500744</v>
      </c>
      <c r="K20" s="135">
        <v>495232.3</v>
      </c>
      <c r="L20" s="604">
        <f t="shared" si="0"/>
        <v>105.51225072439065</v>
      </c>
      <c r="M20" s="605">
        <f t="shared" si="1"/>
        <v>98.89929784480692</v>
      </c>
    </row>
    <row r="21" spans="1:13" ht="18.75" customHeight="1">
      <c r="A21" s="134" t="s">
        <v>1657</v>
      </c>
      <c r="B21" s="184" t="s">
        <v>1213</v>
      </c>
      <c r="C21" s="124" t="s">
        <v>1625</v>
      </c>
      <c r="D21" s="124" t="s">
        <v>1594</v>
      </c>
      <c r="E21" s="124" t="s">
        <v>1444</v>
      </c>
      <c r="F21" s="124" t="s">
        <v>1502</v>
      </c>
      <c r="G21" s="135">
        <v>0</v>
      </c>
      <c r="H21" s="135">
        <f>1670.4+524.6+86.5+2.4</f>
        <v>2283.9</v>
      </c>
      <c r="K21" s="135">
        <v>2097.6</v>
      </c>
      <c r="L21" s="604">
        <v>0</v>
      </c>
      <c r="M21" s="605">
        <f t="shared" si="1"/>
        <v>91.8429003021148</v>
      </c>
    </row>
    <row r="22" spans="1:13" ht="72">
      <c r="A22" s="159" t="s">
        <v>1484</v>
      </c>
      <c r="B22" s="184" t="s">
        <v>1213</v>
      </c>
      <c r="C22" s="124" t="s">
        <v>1625</v>
      </c>
      <c r="D22" s="124" t="s">
        <v>1594</v>
      </c>
      <c r="E22" s="124" t="s">
        <v>1445</v>
      </c>
      <c r="F22" s="124"/>
      <c r="G22" s="132">
        <f aca="true" t="shared" si="2" ref="G22:H24">G23</f>
        <v>4553</v>
      </c>
      <c r="H22" s="132">
        <f t="shared" si="2"/>
        <v>4553</v>
      </c>
      <c r="K22" s="132">
        <f>K23</f>
        <v>4553</v>
      </c>
      <c r="L22" s="604">
        <f>K22/G22*100</f>
        <v>100</v>
      </c>
      <c r="M22" s="605">
        <f t="shared" si="1"/>
        <v>100</v>
      </c>
    </row>
    <row r="23" spans="1:13" ht="24">
      <c r="A23" s="129" t="s">
        <v>752</v>
      </c>
      <c r="B23" s="184" t="s">
        <v>1213</v>
      </c>
      <c r="C23" s="124" t="s">
        <v>1625</v>
      </c>
      <c r="D23" s="124" t="s">
        <v>1594</v>
      </c>
      <c r="E23" s="124" t="s">
        <v>1445</v>
      </c>
      <c r="F23" s="124" t="s">
        <v>751</v>
      </c>
      <c r="G23" s="132">
        <f t="shared" si="2"/>
        <v>4553</v>
      </c>
      <c r="H23" s="132">
        <f t="shared" si="2"/>
        <v>4553</v>
      </c>
      <c r="K23" s="132">
        <f>K24</f>
        <v>4553</v>
      </c>
      <c r="L23" s="604">
        <f>K23/G23*100</f>
        <v>100</v>
      </c>
      <c r="M23" s="605">
        <f t="shared" si="1"/>
        <v>100</v>
      </c>
    </row>
    <row r="24" spans="1:13" ht="24">
      <c r="A24" s="134" t="s">
        <v>689</v>
      </c>
      <c r="B24" s="184" t="s">
        <v>1213</v>
      </c>
      <c r="C24" s="124" t="s">
        <v>1625</v>
      </c>
      <c r="D24" s="124" t="s">
        <v>1594</v>
      </c>
      <c r="E24" s="124" t="s">
        <v>1445</v>
      </c>
      <c r="F24" s="124" t="s">
        <v>1409</v>
      </c>
      <c r="G24" s="135">
        <f t="shared" si="2"/>
        <v>4553</v>
      </c>
      <c r="H24" s="135">
        <f t="shared" si="2"/>
        <v>4553</v>
      </c>
      <c r="K24" s="135">
        <f>K25</f>
        <v>4553</v>
      </c>
      <c r="L24" s="604">
        <f>K24/G24*100</f>
        <v>100</v>
      </c>
      <c r="M24" s="605">
        <f t="shared" si="1"/>
        <v>100</v>
      </c>
    </row>
    <row r="25" spans="1:13" ht="24">
      <c r="A25" s="134" t="s">
        <v>1246</v>
      </c>
      <c r="B25" s="184" t="s">
        <v>1213</v>
      </c>
      <c r="C25" s="124" t="s">
        <v>1625</v>
      </c>
      <c r="D25" s="124" t="s">
        <v>1594</v>
      </c>
      <c r="E25" s="124" t="s">
        <v>1445</v>
      </c>
      <c r="F25" s="124" t="s">
        <v>1409</v>
      </c>
      <c r="G25" s="135">
        <v>4553</v>
      </c>
      <c r="H25" s="135">
        <v>4553</v>
      </c>
      <c r="K25" s="135">
        <v>4553</v>
      </c>
      <c r="L25" s="604">
        <f>K25/G25*100</f>
        <v>100</v>
      </c>
      <c r="M25" s="605">
        <f t="shared" si="1"/>
        <v>100</v>
      </c>
    </row>
    <row r="26" spans="1:13" ht="48">
      <c r="A26" s="134" t="s">
        <v>1376</v>
      </c>
      <c r="B26" s="184" t="s">
        <v>1213</v>
      </c>
      <c r="C26" s="124" t="s">
        <v>1625</v>
      </c>
      <c r="D26" s="124" t="s">
        <v>1594</v>
      </c>
      <c r="E26" s="124" t="s">
        <v>1377</v>
      </c>
      <c r="F26" s="124"/>
      <c r="G26" s="132">
        <f>G27</f>
        <v>0</v>
      </c>
      <c r="H26" s="132">
        <f>H27</f>
        <v>500</v>
      </c>
      <c r="K26" s="132">
        <f>K27</f>
        <v>500</v>
      </c>
      <c r="L26" s="604">
        <v>0</v>
      </c>
      <c r="M26" s="605">
        <f t="shared" si="1"/>
        <v>100</v>
      </c>
    </row>
    <row r="27" spans="1:13" ht="24">
      <c r="A27" s="129" t="s">
        <v>752</v>
      </c>
      <c r="B27" s="184" t="s">
        <v>1213</v>
      </c>
      <c r="C27" s="124" t="s">
        <v>1625</v>
      </c>
      <c r="D27" s="124" t="s">
        <v>1594</v>
      </c>
      <c r="E27" s="124" t="s">
        <v>1377</v>
      </c>
      <c r="F27" s="124" t="s">
        <v>751</v>
      </c>
      <c r="G27" s="132">
        <f>G28</f>
        <v>0</v>
      </c>
      <c r="H27" s="132">
        <f>H28</f>
        <v>500</v>
      </c>
      <c r="K27" s="132">
        <f>K28</f>
        <v>500</v>
      </c>
      <c r="L27" s="604">
        <v>0</v>
      </c>
      <c r="M27" s="605">
        <f t="shared" si="1"/>
        <v>100</v>
      </c>
    </row>
    <row r="28" spans="1:13" ht="24">
      <c r="A28" s="134" t="s">
        <v>1501</v>
      </c>
      <c r="B28" s="184" t="s">
        <v>1213</v>
      </c>
      <c r="C28" s="124" t="s">
        <v>1625</v>
      </c>
      <c r="D28" s="124" t="s">
        <v>1594</v>
      </c>
      <c r="E28" s="124" t="s">
        <v>1377</v>
      </c>
      <c r="F28" s="124" t="s">
        <v>1502</v>
      </c>
      <c r="G28" s="135">
        <v>0</v>
      </c>
      <c r="H28" s="135">
        <v>500</v>
      </c>
      <c r="K28" s="135">
        <v>500</v>
      </c>
      <c r="L28" s="604">
        <v>0</v>
      </c>
      <c r="M28" s="605">
        <f t="shared" si="1"/>
        <v>100</v>
      </c>
    </row>
    <row r="29" spans="1:13" ht="24">
      <c r="A29" s="129" t="s">
        <v>752</v>
      </c>
      <c r="B29" s="184" t="s">
        <v>1213</v>
      </c>
      <c r="C29" s="124" t="s">
        <v>1625</v>
      </c>
      <c r="D29" s="124" t="s">
        <v>1594</v>
      </c>
      <c r="E29" s="124" t="s">
        <v>1446</v>
      </c>
      <c r="F29" s="124" t="s">
        <v>751</v>
      </c>
      <c r="G29" s="132">
        <f>G31+G32</f>
        <v>335350</v>
      </c>
      <c r="H29" s="132">
        <f>H30+H32</f>
        <v>295844.7</v>
      </c>
      <c r="K29" s="132">
        <f>K30+K32</f>
        <v>286061.5</v>
      </c>
      <c r="L29" s="604">
        <f>K29/G29*100</f>
        <v>85.30237065752199</v>
      </c>
      <c r="M29" s="605">
        <f t="shared" si="1"/>
        <v>96.69312987523521</v>
      </c>
    </row>
    <row r="30" spans="1:13" ht="15" hidden="1">
      <c r="A30" s="134" t="s">
        <v>1435</v>
      </c>
      <c r="B30" s="184" t="s">
        <v>1213</v>
      </c>
      <c r="C30" s="124" t="s">
        <v>1625</v>
      </c>
      <c r="D30" s="124" t="s">
        <v>1594</v>
      </c>
      <c r="E30" s="124" t="s">
        <v>1446</v>
      </c>
      <c r="F30" s="124" t="s">
        <v>1436</v>
      </c>
      <c r="G30" s="135">
        <f>16686-16686</f>
        <v>0</v>
      </c>
      <c r="H30" s="135">
        <f>16686-16686</f>
        <v>0</v>
      </c>
      <c r="K30" s="135">
        <f>16686-16686</f>
        <v>0</v>
      </c>
      <c r="L30" s="604" t="e">
        <f>K30/G30*100</f>
        <v>#DIV/0!</v>
      </c>
      <c r="M30" s="605" t="e">
        <f t="shared" si="1"/>
        <v>#DIV/0!</v>
      </c>
    </row>
    <row r="31" spans="1:13" ht="24">
      <c r="A31" s="134" t="s">
        <v>1212</v>
      </c>
      <c r="B31" s="184" t="s">
        <v>1213</v>
      </c>
      <c r="C31" s="124" t="s">
        <v>1625</v>
      </c>
      <c r="D31" s="124" t="s">
        <v>1594</v>
      </c>
      <c r="E31" s="124" t="s">
        <v>1446</v>
      </c>
      <c r="F31" s="124" t="s">
        <v>1436</v>
      </c>
      <c r="G31" s="135">
        <v>16686</v>
      </c>
      <c r="H31" s="135"/>
      <c r="K31" s="135"/>
      <c r="L31" s="604">
        <f>K31/G31*100</f>
        <v>0</v>
      </c>
      <c r="M31" s="605">
        <v>0</v>
      </c>
    </row>
    <row r="32" spans="1:13" ht="20.25" customHeight="1">
      <c r="A32" s="134" t="s">
        <v>1687</v>
      </c>
      <c r="B32" s="184" t="s">
        <v>1213</v>
      </c>
      <c r="C32" s="127" t="s">
        <v>1625</v>
      </c>
      <c r="D32" s="127" t="s">
        <v>1594</v>
      </c>
      <c r="E32" s="124" t="s">
        <v>1446</v>
      </c>
      <c r="F32" s="127" t="s">
        <v>1502</v>
      </c>
      <c r="G32" s="135">
        <f>318664</f>
        <v>318664</v>
      </c>
      <c r="H32" s="135">
        <f>318664+16686+H34+H35+H36-17096+H37+H38+H39+H41+H42+H43+H44+H45-9888-2500-32000-6000</f>
        <v>295844.7</v>
      </c>
      <c r="K32" s="135">
        <v>286061.5</v>
      </c>
      <c r="L32" s="604">
        <f>K32/G32*100</f>
        <v>89.76900434313258</v>
      </c>
      <c r="M32" s="605">
        <f t="shared" si="1"/>
        <v>96.69312987523521</v>
      </c>
    </row>
    <row r="33" spans="1:13" ht="61.5" customHeight="1">
      <c r="A33" s="134" t="s">
        <v>1378</v>
      </c>
      <c r="B33" s="184" t="s">
        <v>1213</v>
      </c>
      <c r="C33" s="127" t="s">
        <v>1625</v>
      </c>
      <c r="D33" s="127" t="s">
        <v>1594</v>
      </c>
      <c r="E33" s="124" t="s">
        <v>1446</v>
      </c>
      <c r="F33" s="127" t="s">
        <v>1502</v>
      </c>
      <c r="G33" s="135">
        <v>0</v>
      </c>
      <c r="H33" s="135">
        <f>223-167.4</f>
        <v>55.599999999999994</v>
      </c>
      <c r="K33" s="135">
        <f>223-167.4</f>
        <v>55.599999999999994</v>
      </c>
      <c r="L33" s="604">
        <v>0</v>
      </c>
      <c r="M33" s="605">
        <f t="shared" si="1"/>
        <v>100</v>
      </c>
    </row>
    <row r="34" spans="1:13" ht="26.25" customHeight="1">
      <c r="A34" s="134" t="s">
        <v>47</v>
      </c>
      <c r="B34" s="184" t="s">
        <v>1213</v>
      </c>
      <c r="C34" s="127" t="s">
        <v>1625</v>
      </c>
      <c r="D34" s="127" t="s">
        <v>1594</v>
      </c>
      <c r="E34" s="124" t="s">
        <v>1446</v>
      </c>
      <c r="F34" s="127" t="s">
        <v>1502</v>
      </c>
      <c r="G34" s="135">
        <v>0</v>
      </c>
      <c r="H34" s="135">
        <v>520</v>
      </c>
      <c r="K34" s="135">
        <v>519.5</v>
      </c>
      <c r="L34" s="604">
        <v>0</v>
      </c>
      <c r="M34" s="605">
        <f t="shared" si="1"/>
        <v>99.90384615384616</v>
      </c>
    </row>
    <row r="35" spans="1:13" ht="26.25" customHeight="1">
      <c r="A35" s="134" t="s">
        <v>899</v>
      </c>
      <c r="B35" s="184" t="s">
        <v>1213</v>
      </c>
      <c r="C35" s="127" t="s">
        <v>1625</v>
      </c>
      <c r="D35" s="127" t="s">
        <v>1594</v>
      </c>
      <c r="E35" s="124" t="s">
        <v>1446</v>
      </c>
      <c r="F35" s="127" t="s">
        <v>1502</v>
      </c>
      <c r="G35" s="135">
        <v>0</v>
      </c>
      <c r="H35" s="135">
        <v>9563</v>
      </c>
      <c r="K35" s="135">
        <v>9563</v>
      </c>
      <c r="L35" s="604">
        <v>0</v>
      </c>
      <c r="M35" s="605">
        <f t="shared" si="1"/>
        <v>100</v>
      </c>
    </row>
    <row r="36" spans="1:13" ht="26.25" customHeight="1">
      <c r="A36" s="134" t="s">
        <v>900</v>
      </c>
      <c r="B36" s="184" t="s">
        <v>1213</v>
      </c>
      <c r="C36" s="127" t="s">
        <v>1625</v>
      </c>
      <c r="D36" s="127" t="s">
        <v>1594</v>
      </c>
      <c r="E36" s="124" t="s">
        <v>1446</v>
      </c>
      <c r="F36" s="127" t="s">
        <v>1502</v>
      </c>
      <c r="G36" s="135">
        <v>0</v>
      </c>
      <c r="H36" s="135">
        <v>5226</v>
      </c>
      <c r="K36" s="135">
        <v>5226</v>
      </c>
      <c r="L36" s="604">
        <v>0</v>
      </c>
      <c r="M36" s="605">
        <f t="shared" si="1"/>
        <v>100</v>
      </c>
    </row>
    <row r="37" spans="1:13" ht="26.25" customHeight="1">
      <c r="A37" s="134" t="s">
        <v>1658</v>
      </c>
      <c r="B37" s="184" t="s">
        <v>1213</v>
      </c>
      <c r="C37" s="127" t="s">
        <v>1625</v>
      </c>
      <c r="D37" s="127" t="s">
        <v>1594</v>
      </c>
      <c r="E37" s="124" t="s">
        <v>1446</v>
      </c>
      <c r="F37" s="127" t="s">
        <v>1502</v>
      </c>
      <c r="G37" s="135">
        <v>0</v>
      </c>
      <c r="H37" s="135">
        <v>2700</v>
      </c>
      <c r="K37" s="135">
        <v>2672.4</v>
      </c>
      <c r="L37" s="604">
        <v>0</v>
      </c>
      <c r="M37" s="605">
        <f t="shared" si="1"/>
        <v>98.97777777777777</v>
      </c>
    </row>
    <row r="38" spans="1:13" ht="26.25" customHeight="1">
      <c r="A38" s="134" t="s">
        <v>1379</v>
      </c>
      <c r="B38" s="184" t="s">
        <v>1213</v>
      </c>
      <c r="C38" s="127" t="s">
        <v>1625</v>
      </c>
      <c r="D38" s="127" t="s">
        <v>1594</v>
      </c>
      <c r="E38" s="124" t="s">
        <v>1446</v>
      </c>
      <c r="F38" s="127" t="s">
        <v>1502</v>
      </c>
      <c r="G38" s="135">
        <v>0</v>
      </c>
      <c r="H38" s="135">
        <v>4670.9</v>
      </c>
      <c r="K38" s="135">
        <v>4670.8</v>
      </c>
      <c r="L38" s="604">
        <v>0</v>
      </c>
      <c r="M38" s="605">
        <f t="shared" si="1"/>
        <v>99.99785908497293</v>
      </c>
    </row>
    <row r="39" spans="1:13" ht="48">
      <c r="A39" s="134" t="s">
        <v>1380</v>
      </c>
      <c r="B39" s="184" t="s">
        <v>1213</v>
      </c>
      <c r="C39" s="127" t="s">
        <v>1625</v>
      </c>
      <c r="D39" s="127" t="s">
        <v>1594</v>
      </c>
      <c r="E39" s="124" t="s">
        <v>1446</v>
      </c>
      <c r="F39" s="127" t="s">
        <v>1502</v>
      </c>
      <c r="G39" s="135">
        <v>0</v>
      </c>
      <c r="H39" s="135">
        <v>18.8</v>
      </c>
      <c r="K39" s="135">
        <v>18.8</v>
      </c>
      <c r="L39" s="604">
        <v>0</v>
      </c>
      <c r="M39" s="605">
        <f t="shared" si="1"/>
        <v>100</v>
      </c>
    </row>
    <row r="40" spans="1:13" ht="24">
      <c r="A40" s="134" t="s">
        <v>1659</v>
      </c>
      <c r="B40" s="184" t="s">
        <v>1213</v>
      </c>
      <c r="C40" s="127" t="s">
        <v>1625</v>
      </c>
      <c r="D40" s="127" t="s">
        <v>1594</v>
      </c>
      <c r="E40" s="124" t="s">
        <v>1446</v>
      </c>
      <c r="F40" s="127" t="s">
        <v>1502</v>
      </c>
      <c r="G40" s="135">
        <v>0</v>
      </c>
      <c r="H40" s="135">
        <v>167.4</v>
      </c>
      <c r="K40" s="135">
        <v>0</v>
      </c>
      <c r="L40" s="604">
        <v>0</v>
      </c>
      <c r="M40" s="605">
        <f t="shared" si="1"/>
        <v>0</v>
      </c>
    </row>
    <row r="41" spans="1:13" ht="24">
      <c r="A41" s="134" t="s">
        <v>1660</v>
      </c>
      <c r="B41" s="184" t="s">
        <v>1213</v>
      </c>
      <c r="C41" s="127" t="s">
        <v>1625</v>
      </c>
      <c r="D41" s="127" t="s">
        <v>1594</v>
      </c>
      <c r="E41" s="124" t="s">
        <v>1446</v>
      </c>
      <c r="F41" s="127" t="s">
        <v>1502</v>
      </c>
      <c r="G41" s="135">
        <v>0</v>
      </c>
      <c r="H41" s="135">
        <v>830</v>
      </c>
      <c r="K41" s="135">
        <v>827.2</v>
      </c>
      <c r="L41" s="604">
        <v>0</v>
      </c>
      <c r="M41" s="605">
        <f t="shared" si="1"/>
        <v>99.66265060240964</v>
      </c>
    </row>
    <row r="42" spans="1:13" ht="24">
      <c r="A42" s="134" t="s">
        <v>1661</v>
      </c>
      <c r="B42" s="184" t="s">
        <v>1213</v>
      </c>
      <c r="C42" s="127" t="s">
        <v>1625</v>
      </c>
      <c r="D42" s="127" t="s">
        <v>1594</v>
      </c>
      <c r="E42" s="124" t="s">
        <v>1446</v>
      </c>
      <c r="F42" s="127" t="s">
        <v>1502</v>
      </c>
      <c r="G42" s="135">
        <v>0</v>
      </c>
      <c r="H42" s="135">
        <v>600</v>
      </c>
      <c r="K42" s="135">
        <v>598.9</v>
      </c>
      <c r="L42" s="604">
        <v>0</v>
      </c>
      <c r="M42" s="605">
        <f t="shared" si="1"/>
        <v>99.81666666666666</v>
      </c>
    </row>
    <row r="43" spans="1:13" ht="24">
      <c r="A43" s="134" t="s">
        <v>1662</v>
      </c>
      <c r="B43" s="184" t="s">
        <v>1213</v>
      </c>
      <c r="C43" s="127" t="s">
        <v>1625</v>
      </c>
      <c r="D43" s="127" t="s">
        <v>1594</v>
      </c>
      <c r="E43" s="124" t="s">
        <v>1446</v>
      </c>
      <c r="F43" s="127" t="s">
        <v>1502</v>
      </c>
      <c r="G43" s="135">
        <v>0</v>
      </c>
      <c r="H43" s="135">
        <v>2500</v>
      </c>
      <c r="K43" s="135">
        <v>2475</v>
      </c>
      <c r="L43" s="604">
        <v>0</v>
      </c>
      <c r="M43" s="605">
        <f t="shared" si="1"/>
        <v>99</v>
      </c>
    </row>
    <row r="44" spans="1:13" ht="24">
      <c r="A44" s="134" t="s">
        <v>1663</v>
      </c>
      <c r="B44" s="184" t="s">
        <v>1213</v>
      </c>
      <c r="C44" s="127" t="s">
        <v>1625</v>
      </c>
      <c r="D44" s="127" t="s">
        <v>1594</v>
      </c>
      <c r="E44" s="124" t="s">
        <v>1446</v>
      </c>
      <c r="F44" s="127" t="s">
        <v>1502</v>
      </c>
      <c r="G44" s="135">
        <v>0</v>
      </c>
      <c r="H44" s="135">
        <v>1000</v>
      </c>
      <c r="K44" s="135">
        <v>1000</v>
      </c>
      <c r="L44" s="604">
        <v>0</v>
      </c>
      <c r="M44" s="605">
        <f t="shared" si="1"/>
        <v>100</v>
      </c>
    </row>
    <row r="45" spans="1:13" ht="24">
      <c r="A45" s="134" t="s">
        <v>1664</v>
      </c>
      <c r="B45" s="184" t="s">
        <v>1213</v>
      </c>
      <c r="C45" s="127" t="s">
        <v>1625</v>
      </c>
      <c r="D45" s="127" t="s">
        <v>1594</v>
      </c>
      <c r="E45" s="124" t="s">
        <v>1446</v>
      </c>
      <c r="F45" s="127" t="s">
        <v>1502</v>
      </c>
      <c r="G45" s="135">
        <v>0</v>
      </c>
      <c r="H45" s="135">
        <v>350</v>
      </c>
      <c r="K45" s="135">
        <v>349.2</v>
      </c>
      <c r="L45" s="604">
        <v>0</v>
      </c>
      <c r="M45" s="605">
        <f t="shared" si="1"/>
        <v>99.77142857142857</v>
      </c>
    </row>
    <row r="46" spans="1:13" ht="24">
      <c r="A46" s="129" t="s">
        <v>592</v>
      </c>
      <c r="B46" s="184" t="s">
        <v>1213</v>
      </c>
      <c r="C46" s="127" t="s">
        <v>1625</v>
      </c>
      <c r="D46" s="127" t="s">
        <v>1594</v>
      </c>
      <c r="E46" s="124" t="s">
        <v>1446</v>
      </c>
      <c r="F46" s="127" t="s">
        <v>107</v>
      </c>
      <c r="G46" s="132">
        <f>G56</f>
        <v>278952</v>
      </c>
      <c r="H46" s="132">
        <f>H56</f>
        <v>278952</v>
      </c>
      <c r="K46" s="132">
        <f>K56</f>
        <v>278952</v>
      </c>
      <c r="L46" s="604">
        <f>K46/G46*100</f>
        <v>100</v>
      </c>
      <c r="M46" s="605">
        <f t="shared" si="1"/>
        <v>100</v>
      </c>
    </row>
    <row r="47" spans="1:13" ht="24">
      <c r="A47" s="137" t="s">
        <v>1455</v>
      </c>
      <c r="B47" s="184" t="s">
        <v>1213</v>
      </c>
      <c r="C47" s="127" t="s">
        <v>1625</v>
      </c>
      <c r="D47" s="127" t="s">
        <v>1594</v>
      </c>
      <c r="E47" s="124" t="s">
        <v>1241</v>
      </c>
      <c r="F47" s="127"/>
      <c r="G47" s="132">
        <f aca="true" t="shared" si="3" ref="G47:H50">G48</f>
        <v>0</v>
      </c>
      <c r="H47" s="132">
        <f t="shared" si="3"/>
        <v>1500</v>
      </c>
      <c r="K47" s="132">
        <f>K48</f>
        <v>1463.8</v>
      </c>
      <c r="L47" s="604">
        <v>0</v>
      </c>
      <c r="M47" s="605">
        <f t="shared" si="1"/>
        <v>97.58666666666667</v>
      </c>
    </row>
    <row r="48" spans="1:13" ht="36">
      <c r="A48" s="129" t="s">
        <v>1457</v>
      </c>
      <c r="B48" s="184" t="s">
        <v>1213</v>
      </c>
      <c r="C48" s="127" t="s">
        <v>1625</v>
      </c>
      <c r="D48" s="127" t="s">
        <v>1594</v>
      </c>
      <c r="E48" s="124" t="s">
        <v>1240</v>
      </c>
      <c r="F48" s="127"/>
      <c r="G48" s="132">
        <f t="shared" si="3"/>
        <v>0</v>
      </c>
      <c r="H48" s="132">
        <f t="shared" si="3"/>
        <v>1500</v>
      </c>
      <c r="K48" s="132">
        <f>K49</f>
        <v>1463.8</v>
      </c>
      <c r="L48" s="604">
        <v>0</v>
      </c>
      <c r="M48" s="605">
        <f t="shared" si="1"/>
        <v>97.58666666666667</v>
      </c>
    </row>
    <row r="49" spans="1:13" ht="24">
      <c r="A49" s="129" t="s">
        <v>752</v>
      </c>
      <c r="B49" s="184" t="s">
        <v>1213</v>
      </c>
      <c r="C49" s="127" t="s">
        <v>1625</v>
      </c>
      <c r="D49" s="127" t="s">
        <v>1594</v>
      </c>
      <c r="E49" s="124" t="s">
        <v>1251</v>
      </c>
      <c r="F49" s="127" t="s">
        <v>751</v>
      </c>
      <c r="G49" s="132">
        <f t="shared" si="3"/>
        <v>0</v>
      </c>
      <c r="H49" s="132">
        <f t="shared" si="3"/>
        <v>1500</v>
      </c>
      <c r="K49" s="132">
        <f>K50</f>
        <v>1463.8</v>
      </c>
      <c r="L49" s="604">
        <v>0</v>
      </c>
      <c r="M49" s="605">
        <f t="shared" si="1"/>
        <v>97.58666666666667</v>
      </c>
    </row>
    <row r="50" spans="1:13" ht="24">
      <c r="A50" s="134" t="s">
        <v>753</v>
      </c>
      <c r="B50" s="184" t="s">
        <v>1213</v>
      </c>
      <c r="C50" s="127" t="s">
        <v>1625</v>
      </c>
      <c r="D50" s="127" t="s">
        <v>1594</v>
      </c>
      <c r="E50" s="124" t="s">
        <v>1251</v>
      </c>
      <c r="F50" s="127" t="s">
        <v>1436</v>
      </c>
      <c r="G50" s="132">
        <f t="shared" si="3"/>
        <v>0</v>
      </c>
      <c r="H50" s="132">
        <f t="shared" si="3"/>
        <v>1500</v>
      </c>
      <c r="K50" s="132">
        <f>K51</f>
        <v>1463.8</v>
      </c>
      <c r="L50" s="604">
        <v>0</v>
      </c>
      <c r="M50" s="605">
        <f t="shared" si="1"/>
        <v>97.58666666666667</v>
      </c>
    </row>
    <row r="51" spans="1:13" ht="24">
      <c r="A51" s="134" t="s">
        <v>665</v>
      </c>
      <c r="B51" s="184" t="s">
        <v>1213</v>
      </c>
      <c r="C51" s="127" t="s">
        <v>1625</v>
      </c>
      <c r="D51" s="127" t="s">
        <v>1594</v>
      </c>
      <c r="E51" s="124" t="s">
        <v>1251</v>
      </c>
      <c r="F51" s="127" t="s">
        <v>1436</v>
      </c>
      <c r="G51" s="135">
        <v>0</v>
      </c>
      <c r="H51" s="135">
        <v>1500</v>
      </c>
      <c r="K51" s="135">
        <v>1463.8</v>
      </c>
      <c r="L51" s="604">
        <v>0</v>
      </c>
      <c r="M51" s="605">
        <f t="shared" si="1"/>
        <v>97.58666666666667</v>
      </c>
    </row>
    <row r="52" spans="1:13" ht="24">
      <c r="A52" s="130" t="s">
        <v>1052</v>
      </c>
      <c r="B52" s="184" t="s">
        <v>1213</v>
      </c>
      <c r="C52" s="127" t="s">
        <v>1625</v>
      </c>
      <c r="D52" s="127" t="s">
        <v>1594</v>
      </c>
      <c r="E52" s="124" t="s">
        <v>1053</v>
      </c>
      <c r="F52" s="127"/>
      <c r="G52" s="132">
        <f aca="true" t="shared" si="4" ref="G52:H54">G53</f>
        <v>0</v>
      </c>
      <c r="H52" s="132">
        <f t="shared" si="4"/>
        <v>300</v>
      </c>
      <c r="K52" s="132">
        <f>K53</f>
        <v>300</v>
      </c>
      <c r="L52" s="604">
        <v>0</v>
      </c>
      <c r="M52" s="605">
        <f t="shared" si="1"/>
        <v>100</v>
      </c>
    </row>
    <row r="53" spans="1:13" ht="24">
      <c r="A53" s="129" t="s">
        <v>752</v>
      </c>
      <c r="B53" s="184" t="s">
        <v>1213</v>
      </c>
      <c r="C53" s="127" t="s">
        <v>1625</v>
      </c>
      <c r="D53" s="127" t="s">
        <v>1594</v>
      </c>
      <c r="E53" s="124" t="s">
        <v>1053</v>
      </c>
      <c r="F53" s="127" t="s">
        <v>751</v>
      </c>
      <c r="G53" s="132">
        <f t="shared" si="4"/>
        <v>0</v>
      </c>
      <c r="H53" s="132">
        <f t="shared" si="4"/>
        <v>300</v>
      </c>
      <c r="K53" s="132">
        <f>K54</f>
        <v>300</v>
      </c>
      <c r="L53" s="604">
        <v>0</v>
      </c>
      <c r="M53" s="605">
        <f t="shared" si="1"/>
        <v>100</v>
      </c>
    </row>
    <row r="54" spans="1:13" ht="24">
      <c r="A54" s="134" t="s">
        <v>1682</v>
      </c>
      <c r="B54" s="184" t="s">
        <v>1213</v>
      </c>
      <c r="C54" s="127" t="s">
        <v>1625</v>
      </c>
      <c r="D54" s="127" t="s">
        <v>1594</v>
      </c>
      <c r="E54" s="124" t="s">
        <v>1053</v>
      </c>
      <c r="F54" s="127" t="s">
        <v>1502</v>
      </c>
      <c r="G54" s="132">
        <f t="shared" si="4"/>
        <v>0</v>
      </c>
      <c r="H54" s="132">
        <f t="shared" si="4"/>
        <v>300</v>
      </c>
      <c r="K54" s="132">
        <f>K55</f>
        <v>300</v>
      </c>
      <c r="L54" s="604">
        <v>0</v>
      </c>
      <c r="M54" s="605">
        <f t="shared" si="1"/>
        <v>100</v>
      </c>
    </row>
    <row r="55" spans="1:13" ht="24">
      <c r="A55" s="134" t="s">
        <v>901</v>
      </c>
      <c r="B55" s="184" t="s">
        <v>1213</v>
      </c>
      <c r="C55" s="127" t="s">
        <v>1625</v>
      </c>
      <c r="D55" s="127" t="s">
        <v>1594</v>
      </c>
      <c r="E55" s="124" t="s">
        <v>1053</v>
      </c>
      <c r="F55" s="127" t="s">
        <v>1502</v>
      </c>
      <c r="G55" s="135">
        <v>0</v>
      </c>
      <c r="H55" s="135">
        <f>100+200</f>
        <v>300</v>
      </c>
      <c r="K55" s="135">
        <f>100+200</f>
        <v>300</v>
      </c>
      <c r="L55" s="604">
        <v>0</v>
      </c>
      <c r="M55" s="605">
        <f t="shared" si="1"/>
        <v>100</v>
      </c>
    </row>
    <row r="56" spans="1:13" ht="36">
      <c r="A56" s="129" t="s">
        <v>387</v>
      </c>
      <c r="B56" s="184" t="s">
        <v>1213</v>
      </c>
      <c r="C56" s="127" t="s">
        <v>1625</v>
      </c>
      <c r="D56" s="127" t="s">
        <v>1594</v>
      </c>
      <c r="E56" s="124" t="s">
        <v>1446</v>
      </c>
      <c r="F56" s="127" t="s">
        <v>2</v>
      </c>
      <c r="G56" s="135">
        <v>278952</v>
      </c>
      <c r="H56" s="135">
        <v>278952</v>
      </c>
      <c r="K56" s="135">
        <v>278952</v>
      </c>
      <c r="L56" s="604">
        <f aca="true" t="shared" si="5" ref="L56:L61">K56/G56*100</f>
        <v>100</v>
      </c>
      <c r="M56" s="605">
        <f t="shared" si="1"/>
        <v>100</v>
      </c>
    </row>
    <row r="57" spans="1:13" ht="24">
      <c r="A57" s="129" t="s">
        <v>1067</v>
      </c>
      <c r="B57" s="184" t="s">
        <v>1213</v>
      </c>
      <c r="C57" s="127" t="s">
        <v>1625</v>
      </c>
      <c r="D57" s="127" t="s">
        <v>1594</v>
      </c>
      <c r="E57" s="124" t="s">
        <v>1446</v>
      </c>
      <c r="F57" s="127" t="s">
        <v>2</v>
      </c>
      <c r="G57" s="135">
        <f>149000+2250</f>
        <v>151250</v>
      </c>
      <c r="H57" s="135">
        <f>149000+2250</f>
        <v>151250</v>
      </c>
      <c r="K57" s="135">
        <f>149000+2250</f>
        <v>151250</v>
      </c>
      <c r="L57" s="604">
        <f t="shared" si="5"/>
        <v>100</v>
      </c>
      <c r="M57" s="605">
        <f t="shared" si="1"/>
        <v>100</v>
      </c>
    </row>
    <row r="58" spans="1:13" ht="24">
      <c r="A58" s="129" t="s">
        <v>1068</v>
      </c>
      <c r="B58" s="184" t="s">
        <v>1213</v>
      </c>
      <c r="C58" s="127" t="s">
        <v>1625</v>
      </c>
      <c r="D58" s="127" t="s">
        <v>1594</v>
      </c>
      <c r="E58" s="124" t="s">
        <v>1446</v>
      </c>
      <c r="F58" s="127" t="s">
        <v>2</v>
      </c>
      <c r="G58" s="135">
        <f>125800+1902</f>
        <v>127702</v>
      </c>
      <c r="H58" s="135">
        <f>125800+1902</f>
        <v>127702</v>
      </c>
      <c r="K58" s="135">
        <f>125800+1902</f>
        <v>127702</v>
      </c>
      <c r="L58" s="604">
        <f t="shared" si="5"/>
        <v>100</v>
      </c>
      <c r="M58" s="605">
        <f t="shared" si="1"/>
        <v>100</v>
      </c>
    </row>
    <row r="59" spans="1:13" ht="15">
      <c r="A59" s="133" t="s">
        <v>1283</v>
      </c>
      <c r="B59" s="184" t="s">
        <v>1213</v>
      </c>
      <c r="C59" s="124" t="s">
        <v>1625</v>
      </c>
      <c r="D59" s="124" t="s">
        <v>852</v>
      </c>
      <c r="E59" s="124"/>
      <c r="F59" s="124"/>
      <c r="G59" s="132">
        <f>G60+G169+G177</f>
        <v>1414677</v>
      </c>
      <c r="H59" s="132">
        <f>H60+H169+H177</f>
        <v>1496611.6999999997</v>
      </c>
      <c r="K59" s="132">
        <f>K60+K169+K177</f>
        <v>1445825.5999999999</v>
      </c>
      <c r="L59" s="604">
        <f t="shared" si="5"/>
        <v>102.20181709323046</v>
      </c>
      <c r="M59" s="605">
        <f t="shared" si="1"/>
        <v>96.60659474999427</v>
      </c>
    </row>
    <row r="60" spans="1:13" ht="29.25" customHeight="1">
      <c r="A60" s="141" t="s">
        <v>802</v>
      </c>
      <c r="B60" s="184" t="s">
        <v>1213</v>
      </c>
      <c r="C60" s="180" t="s">
        <v>1625</v>
      </c>
      <c r="D60" s="180" t="s">
        <v>852</v>
      </c>
      <c r="E60" s="163" t="s">
        <v>1717</v>
      </c>
      <c r="F60" s="124"/>
      <c r="G60" s="132">
        <f>G61+G149</f>
        <v>1414677</v>
      </c>
      <c r="H60" s="132">
        <f>H61+H149</f>
        <v>1492711.6999999997</v>
      </c>
      <c r="K60" s="132">
        <f>K61+K149</f>
        <v>1442233.7999999998</v>
      </c>
      <c r="L60" s="604">
        <f t="shared" si="5"/>
        <v>101.94792168106217</v>
      </c>
      <c r="M60" s="605">
        <f t="shared" si="1"/>
        <v>96.61837580558925</v>
      </c>
    </row>
    <row r="61" spans="1:13" ht="24">
      <c r="A61" s="151" t="s">
        <v>1253</v>
      </c>
      <c r="B61" s="184" t="s">
        <v>1213</v>
      </c>
      <c r="C61" s="180" t="s">
        <v>1625</v>
      </c>
      <c r="D61" s="180" t="s">
        <v>852</v>
      </c>
      <c r="E61" s="164" t="s">
        <v>591</v>
      </c>
      <c r="F61" s="124"/>
      <c r="G61" s="132">
        <f>G68+G74+G77+G82+G85+G88+G92+G98+G104+G107+G110+G146+G95+G101+G65+G62</f>
        <v>1281787</v>
      </c>
      <c r="H61" s="132">
        <f>H68+H74+H77+H82+H85+H88+H92+H98+H104+H107+H110+H146+H95+H101+H65+H62</f>
        <v>1373563.7999999998</v>
      </c>
      <c r="K61" s="132">
        <f>K68+K74+K77+K82+K85+K88+K92+K98+K104+K107+K110+K146+K95+K101+K65+K62</f>
        <v>1328645.1999999997</v>
      </c>
      <c r="L61" s="604">
        <f t="shared" si="5"/>
        <v>103.65569318459305</v>
      </c>
      <c r="M61" s="605">
        <f t="shared" si="1"/>
        <v>96.72977694956725</v>
      </c>
    </row>
    <row r="62" spans="1:13" ht="24">
      <c r="A62" s="151" t="s">
        <v>1665</v>
      </c>
      <c r="B62" s="184" t="s">
        <v>1213</v>
      </c>
      <c r="C62" s="124" t="s">
        <v>1625</v>
      </c>
      <c r="D62" s="124" t="s">
        <v>852</v>
      </c>
      <c r="E62" s="124" t="s">
        <v>1666</v>
      </c>
      <c r="F62" s="124"/>
      <c r="G62" s="132">
        <f>G63</f>
        <v>0</v>
      </c>
      <c r="H62" s="132">
        <f>H63</f>
        <v>3120.4</v>
      </c>
      <c r="K62" s="132">
        <f>K63</f>
        <v>3120.4</v>
      </c>
      <c r="L62" s="604">
        <v>0</v>
      </c>
      <c r="M62" s="605">
        <f t="shared" si="1"/>
        <v>100</v>
      </c>
    </row>
    <row r="63" spans="1:13" ht="24">
      <c r="A63" s="129" t="s">
        <v>752</v>
      </c>
      <c r="B63" s="184" t="s">
        <v>1213</v>
      </c>
      <c r="C63" s="124" t="s">
        <v>1625</v>
      </c>
      <c r="D63" s="124" t="s">
        <v>852</v>
      </c>
      <c r="E63" s="124" t="s">
        <v>1666</v>
      </c>
      <c r="F63" s="124" t="s">
        <v>751</v>
      </c>
      <c r="G63" s="132">
        <f>G64</f>
        <v>0</v>
      </c>
      <c r="H63" s="132">
        <f>H64</f>
        <v>3120.4</v>
      </c>
      <c r="K63" s="132">
        <f>K64</f>
        <v>3120.4</v>
      </c>
      <c r="L63" s="604">
        <v>0</v>
      </c>
      <c r="M63" s="605">
        <f t="shared" si="1"/>
        <v>100</v>
      </c>
    </row>
    <row r="64" spans="1:13" ht="24">
      <c r="A64" s="134" t="s">
        <v>996</v>
      </c>
      <c r="B64" s="184" t="s">
        <v>1213</v>
      </c>
      <c r="C64" s="124" t="s">
        <v>1625</v>
      </c>
      <c r="D64" s="124" t="s">
        <v>852</v>
      </c>
      <c r="E64" s="124" t="s">
        <v>1666</v>
      </c>
      <c r="F64" s="124" t="s">
        <v>1502</v>
      </c>
      <c r="G64" s="135">
        <v>0</v>
      </c>
      <c r="H64" s="135">
        <v>3120.4</v>
      </c>
      <c r="K64" s="135">
        <v>3120.4</v>
      </c>
      <c r="L64" s="604">
        <v>0</v>
      </c>
      <c r="M64" s="605">
        <f t="shared" si="1"/>
        <v>100</v>
      </c>
    </row>
    <row r="65" spans="1:13" ht="24">
      <c r="A65" s="134" t="s">
        <v>1667</v>
      </c>
      <c r="B65" s="184" t="s">
        <v>1213</v>
      </c>
      <c r="C65" s="124" t="s">
        <v>1625</v>
      </c>
      <c r="D65" s="124" t="s">
        <v>852</v>
      </c>
      <c r="E65" s="124" t="s">
        <v>1668</v>
      </c>
      <c r="F65" s="124"/>
      <c r="G65" s="132">
        <f>G66</f>
        <v>0</v>
      </c>
      <c r="H65" s="132">
        <f>H66</f>
        <v>1258.7</v>
      </c>
      <c r="K65" s="132">
        <f>K66</f>
        <v>1258.7</v>
      </c>
      <c r="L65" s="604">
        <v>0</v>
      </c>
      <c r="M65" s="605">
        <f t="shared" si="1"/>
        <v>100</v>
      </c>
    </row>
    <row r="66" spans="1:13" ht="24">
      <c r="A66" s="129" t="s">
        <v>752</v>
      </c>
      <c r="B66" s="184" t="s">
        <v>1213</v>
      </c>
      <c r="C66" s="124" t="s">
        <v>1625</v>
      </c>
      <c r="D66" s="124" t="s">
        <v>852</v>
      </c>
      <c r="E66" s="124" t="s">
        <v>1668</v>
      </c>
      <c r="F66" s="124" t="s">
        <v>751</v>
      </c>
      <c r="G66" s="132">
        <f>G67</f>
        <v>0</v>
      </c>
      <c r="H66" s="132">
        <f>H67</f>
        <v>1258.7</v>
      </c>
      <c r="K66" s="132">
        <f>K67</f>
        <v>1258.7</v>
      </c>
      <c r="L66" s="604">
        <v>0</v>
      </c>
      <c r="M66" s="605">
        <f t="shared" si="1"/>
        <v>100</v>
      </c>
    </row>
    <row r="67" spans="1:13" ht="24">
      <c r="A67" s="134" t="s">
        <v>996</v>
      </c>
      <c r="B67" s="184" t="s">
        <v>1213</v>
      </c>
      <c r="C67" s="124" t="s">
        <v>1625</v>
      </c>
      <c r="D67" s="124" t="s">
        <v>852</v>
      </c>
      <c r="E67" s="124" t="s">
        <v>1668</v>
      </c>
      <c r="F67" s="124" t="s">
        <v>1502</v>
      </c>
      <c r="G67" s="135">
        <v>0</v>
      </c>
      <c r="H67" s="135">
        <v>1258.7</v>
      </c>
      <c r="K67" s="135">
        <v>1258.7</v>
      </c>
      <c r="L67" s="604">
        <v>0</v>
      </c>
      <c r="M67" s="605">
        <f t="shared" si="1"/>
        <v>100</v>
      </c>
    </row>
    <row r="68" spans="1:13" ht="96">
      <c r="A68" s="129" t="s">
        <v>448</v>
      </c>
      <c r="B68" s="184" t="s">
        <v>1213</v>
      </c>
      <c r="C68" s="124" t="s">
        <v>1625</v>
      </c>
      <c r="D68" s="124" t="s">
        <v>852</v>
      </c>
      <c r="E68" s="164" t="s">
        <v>1447</v>
      </c>
      <c r="F68" s="124"/>
      <c r="G68" s="132">
        <f>G69</f>
        <v>1001260</v>
      </c>
      <c r="H68" s="132">
        <f>H69</f>
        <v>1032920</v>
      </c>
      <c r="K68" s="132">
        <f>K69</f>
        <v>998001.2999999999</v>
      </c>
      <c r="L68" s="604">
        <f>K68/G68*100</f>
        <v>99.67454007949982</v>
      </c>
      <c r="M68" s="605">
        <f t="shared" si="1"/>
        <v>96.61941873523602</v>
      </c>
    </row>
    <row r="69" spans="1:13" ht="24">
      <c r="A69" s="129" t="s">
        <v>752</v>
      </c>
      <c r="B69" s="184" t="s">
        <v>1213</v>
      </c>
      <c r="C69" s="124" t="s">
        <v>1625</v>
      </c>
      <c r="D69" s="124" t="s">
        <v>852</v>
      </c>
      <c r="E69" s="164" t="s">
        <v>1447</v>
      </c>
      <c r="F69" s="124" t="s">
        <v>751</v>
      </c>
      <c r="G69" s="132">
        <f>G70+G72</f>
        <v>1001260</v>
      </c>
      <c r="H69" s="132">
        <f>H70+H72</f>
        <v>1032920</v>
      </c>
      <c r="K69" s="132">
        <f>K70+K72</f>
        <v>998001.2999999999</v>
      </c>
      <c r="L69" s="604">
        <f>K69/G69*100</f>
        <v>99.67454007949982</v>
      </c>
      <c r="M69" s="605">
        <f t="shared" si="1"/>
        <v>96.61941873523602</v>
      </c>
    </row>
    <row r="70" spans="1:13" ht="24">
      <c r="A70" s="134" t="s">
        <v>18</v>
      </c>
      <c r="B70" s="184" t="s">
        <v>1213</v>
      </c>
      <c r="C70" s="124" t="s">
        <v>1625</v>
      </c>
      <c r="D70" s="124" t="s">
        <v>852</v>
      </c>
      <c r="E70" s="164" t="s">
        <v>1447</v>
      </c>
      <c r="F70" s="124" t="s">
        <v>1436</v>
      </c>
      <c r="G70" s="135">
        <f>25496+61436+368</f>
        <v>87300</v>
      </c>
      <c r="H70" s="135">
        <f>25496+61436+368</f>
        <v>87300</v>
      </c>
      <c r="K70" s="135">
        <v>85767.7</v>
      </c>
      <c r="L70" s="604">
        <f>K70/G70*100</f>
        <v>98.24478808705612</v>
      </c>
      <c r="M70" s="605">
        <f t="shared" si="1"/>
        <v>98.24478808705612</v>
      </c>
    </row>
    <row r="71" spans="1:18" ht="24">
      <c r="A71" s="113" t="s">
        <v>48</v>
      </c>
      <c r="B71" s="184" t="s">
        <v>1213</v>
      </c>
      <c r="C71" s="124" t="s">
        <v>1625</v>
      </c>
      <c r="D71" s="124" t="s">
        <v>852</v>
      </c>
      <c r="E71" s="164" t="s">
        <v>1447</v>
      </c>
      <c r="F71" s="124" t="s">
        <v>1436</v>
      </c>
      <c r="G71" s="135">
        <v>0</v>
      </c>
      <c r="H71" s="135">
        <f>632+30</f>
        <v>662</v>
      </c>
      <c r="K71" s="135">
        <v>660.4</v>
      </c>
      <c r="L71" s="604">
        <v>0</v>
      </c>
      <c r="M71" s="605">
        <f t="shared" si="1"/>
        <v>99.75830815709969</v>
      </c>
      <c r="N71" s="9"/>
      <c r="O71" s="9"/>
      <c r="P71" s="9"/>
      <c r="Q71" s="9"/>
      <c r="R71" s="9"/>
    </row>
    <row r="72" spans="1:13" ht="24">
      <c r="A72" s="134" t="s">
        <v>1687</v>
      </c>
      <c r="B72" s="184" t="s">
        <v>1213</v>
      </c>
      <c r="C72" s="124" t="s">
        <v>1625</v>
      </c>
      <c r="D72" s="124" t="s">
        <v>852</v>
      </c>
      <c r="E72" s="164" t="s">
        <v>1447</v>
      </c>
      <c r="F72" s="124" t="s">
        <v>1502</v>
      </c>
      <c r="G72" s="135">
        <f>913445+515</f>
        <v>913960</v>
      </c>
      <c r="H72" s="135">
        <f>913445+515+25745+5915</f>
        <v>945620</v>
      </c>
      <c r="K72" s="135">
        <v>912233.6</v>
      </c>
      <c r="L72" s="604">
        <f>K72/G72*100</f>
        <v>99.81110770712066</v>
      </c>
      <c r="M72" s="605">
        <f t="shared" si="1"/>
        <v>96.4693640151435</v>
      </c>
    </row>
    <row r="73" spans="1:18" ht="24">
      <c r="A73" s="113" t="s">
        <v>48</v>
      </c>
      <c r="B73" s="184" t="s">
        <v>1213</v>
      </c>
      <c r="C73" s="124" t="s">
        <v>1625</v>
      </c>
      <c r="D73" s="124" t="s">
        <v>852</v>
      </c>
      <c r="E73" s="164" t="s">
        <v>1447</v>
      </c>
      <c r="F73" s="124" t="s">
        <v>1502</v>
      </c>
      <c r="G73" s="135">
        <v>0</v>
      </c>
      <c r="H73" s="135">
        <f>31747+171</f>
        <v>31918</v>
      </c>
      <c r="K73" s="135">
        <v>31873.5</v>
      </c>
      <c r="L73" s="604">
        <v>0</v>
      </c>
      <c r="M73" s="605">
        <f t="shared" si="1"/>
        <v>99.86058023685695</v>
      </c>
      <c r="N73" s="9"/>
      <c r="O73" s="9"/>
      <c r="P73" s="9"/>
      <c r="Q73" s="9"/>
      <c r="R73" s="9"/>
    </row>
    <row r="74" spans="1:13" ht="108">
      <c r="A74" s="134" t="s">
        <v>45</v>
      </c>
      <c r="B74" s="184" t="s">
        <v>1213</v>
      </c>
      <c r="C74" s="127" t="s">
        <v>1625</v>
      </c>
      <c r="D74" s="127" t="s">
        <v>852</v>
      </c>
      <c r="E74" s="127" t="s">
        <v>645</v>
      </c>
      <c r="F74" s="124"/>
      <c r="G74" s="132">
        <f>G75</f>
        <v>17278</v>
      </c>
      <c r="H74" s="132">
        <f>H75</f>
        <v>17278</v>
      </c>
      <c r="K74" s="132">
        <f>K75</f>
        <v>15295.4</v>
      </c>
      <c r="L74" s="604">
        <f aca="true" t="shared" si="6" ref="L74:L94">K74/G74*100</f>
        <v>88.52529227919898</v>
      </c>
      <c r="M74" s="605">
        <f t="shared" si="1"/>
        <v>88.52529227919898</v>
      </c>
    </row>
    <row r="75" spans="1:13" ht="24">
      <c r="A75" s="129" t="s">
        <v>752</v>
      </c>
      <c r="B75" s="184" t="s">
        <v>1213</v>
      </c>
      <c r="C75" s="127" t="s">
        <v>1625</v>
      </c>
      <c r="D75" s="127" t="s">
        <v>852</v>
      </c>
      <c r="E75" s="127" t="s">
        <v>645</v>
      </c>
      <c r="F75" s="127" t="s">
        <v>751</v>
      </c>
      <c r="G75" s="132">
        <f>G76</f>
        <v>17278</v>
      </c>
      <c r="H75" s="132">
        <f>H76</f>
        <v>17278</v>
      </c>
      <c r="K75" s="132">
        <f>K76</f>
        <v>15295.4</v>
      </c>
      <c r="L75" s="604">
        <f t="shared" si="6"/>
        <v>88.52529227919898</v>
      </c>
      <c r="M75" s="605">
        <f t="shared" si="1"/>
        <v>88.52529227919898</v>
      </c>
    </row>
    <row r="76" spans="1:13" ht="24">
      <c r="A76" s="134" t="s">
        <v>124</v>
      </c>
      <c r="B76" s="184" t="s">
        <v>1213</v>
      </c>
      <c r="C76" s="127" t="s">
        <v>1625</v>
      </c>
      <c r="D76" s="127" t="s">
        <v>852</v>
      </c>
      <c r="E76" s="127" t="s">
        <v>645</v>
      </c>
      <c r="F76" s="127" t="s">
        <v>1409</v>
      </c>
      <c r="G76" s="135">
        <v>17278</v>
      </c>
      <c r="H76" s="135">
        <v>17278</v>
      </c>
      <c r="K76" s="135">
        <v>15295.4</v>
      </c>
      <c r="L76" s="604">
        <f t="shared" si="6"/>
        <v>88.52529227919898</v>
      </c>
      <c r="M76" s="605">
        <f t="shared" si="1"/>
        <v>88.52529227919898</v>
      </c>
    </row>
    <row r="77" spans="1:13" ht="60">
      <c r="A77" s="129" t="s">
        <v>156</v>
      </c>
      <c r="B77" s="184" t="s">
        <v>1213</v>
      </c>
      <c r="C77" s="124" t="s">
        <v>1625</v>
      </c>
      <c r="D77" s="124" t="s">
        <v>852</v>
      </c>
      <c r="E77" s="124" t="s">
        <v>1449</v>
      </c>
      <c r="F77" s="124"/>
      <c r="G77" s="132">
        <f>G78</f>
        <v>39792</v>
      </c>
      <c r="H77" s="132">
        <f>H78</f>
        <v>39792</v>
      </c>
      <c r="K77" s="132">
        <f>K78</f>
        <v>39665.8</v>
      </c>
      <c r="L77" s="604">
        <f t="shared" si="6"/>
        <v>99.68285082428629</v>
      </c>
      <c r="M77" s="605">
        <f aca="true" t="shared" si="7" ref="M77:M140">K77/H77*100</f>
        <v>99.68285082428629</v>
      </c>
    </row>
    <row r="78" spans="1:13" ht="24">
      <c r="A78" s="129" t="s">
        <v>752</v>
      </c>
      <c r="B78" s="184" t="s">
        <v>1213</v>
      </c>
      <c r="C78" s="124" t="s">
        <v>1625</v>
      </c>
      <c r="D78" s="124" t="s">
        <v>852</v>
      </c>
      <c r="E78" s="124" t="s">
        <v>1486</v>
      </c>
      <c r="F78" s="124" t="s">
        <v>751</v>
      </c>
      <c r="G78" s="132">
        <f>G79+G80+G81</f>
        <v>39792</v>
      </c>
      <c r="H78" s="132">
        <f>H79+H80+H81</f>
        <v>39792</v>
      </c>
      <c r="K78" s="132">
        <f>K79+K80+K81</f>
        <v>39665.8</v>
      </c>
      <c r="L78" s="604">
        <f t="shared" si="6"/>
        <v>99.68285082428629</v>
      </c>
      <c r="M78" s="605">
        <f t="shared" si="7"/>
        <v>99.68285082428629</v>
      </c>
    </row>
    <row r="79" spans="1:13" ht="24">
      <c r="A79" s="134" t="s">
        <v>1435</v>
      </c>
      <c r="B79" s="184" t="s">
        <v>1213</v>
      </c>
      <c r="C79" s="124" t="s">
        <v>1625</v>
      </c>
      <c r="D79" s="124" t="s">
        <v>852</v>
      </c>
      <c r="E79" s="124" t="s">
        <v>1449</v>
      </c>
      <c r="F79" s="124" t="s">
        <v>1436</v>
      </c>
      <c r="G79" s="135">
        <v>371</v>
      </c>
      <c r="H79" s="135">
        <v>371</v>
      </c>
      <c r="K79" s="135">
        <v>371</v>
      </c>
      <c r="L79" s="604">
        <f t="shared" si="6"/>
        <v>100</v>
      </c>
      <c r="M79" s="605">
        <f t="shared" si="7"/>
        <v>100</v>
      </c>
    </row>
    <row r="80" spans="1:13" ht="24">
      <c r="A80" s="134" t="s">
        <v>996</v>
      </c>
      <c r="B80" s="184" t="s">
        <v>1213</v>
      </c>
      <c r="C80" s="124" t="s">
        <v>1625</v>
      </c>
      <c r="D80" s="124" t="s">
        <v>852</v>
      </c>
      <c r="E80" s="124" t="s">
        <v>1449</v>
      </c>
      <c r="F80" s="124" t="s">
        <v>1502</v>
      </c>
      <c r="G80" s="135">
        <v>38837</v>
      </c>
      <c r="H80" s="135">
        <v>38837</v>
      </c>
      <c r="K80" s="135">
        <v>38837</v>
      </c>
      <c r="L80" s="604">
        <f t="shared" si="6"/>
        <v>100</v>
      </c>
      <c r="M80" s="605">
        <f t="shared" si="7"/>
        <v>100</v>
      </c>
    </row>
    <row r="81" spans="1:13" ht="24">
      <c r="A81" s="134" t="s">
        <v>124</v>
      </c>
      <c r="B81" s="184" t="s">
        <v>1213</v>
      </c>
      <c r="C81" s="127" t="s">
        <v>1625</v>
      </c>
      <c r="D81" s="127" t="s">
        <v>852</v>
      </c>
      <c r="E81" s="127" t="s">
        <v>1449</v>
      </c>
      <c r="F81" s="127" t="s">
        <v>1409</v>
      </c>
      <c r="G81" s="135">
        <v>584</v>
      </c>
      <c r="H81" s="135">
        <v>584</v>
      </c>
      <c r="K81" s="135">
        <v>457.8</v>
      </c>
      <c r="L81" s="604">
        <f t="shared" si="6"/>
        <v>78.39041095890411</v>
      </c>
      <c r="M81" s="605">
        <f t="shared" si="7"/>
        <v>78.39041095890411</v>
      </c>
    </row>
    <row r="82" spans="1:13" ht="48">
      <c r="A82" s="129" t="s">
        <v>1299</v>
      </c>
      <c r="B82" s="184" t="s">
        <v>1213</v>
      </c>
      <c r="C82" s="124" t="s">
        <v>1625</v>
      </c>
      <c r="D82" s="124" t="s">
        <v>852</v>
      </c>
      <c r="E82" s="124" t="s">
        <v>1450</v>
      </c>
      <c r="F82" s="124"/>
      <c r="G82" s="132">
        <f>G83</f>
        <v>299</v>
      </c>
      <c r="H82" s="132">
        <f>H83</f>
        <v>299</v>
      </c>
      <c r="K82" s="132">
        <f>K83</f>
        <v>297.1</v>
      </c>
      <c r="L82" s="604">
        <f t="shared" si="6"/>
        <v>99.36454849498328</v>
      </c>
      <c r="M82" s="605">
        <f t="shared" si="7"/>
        <v>99.36454849498328</v>
      </c>
    </row>
    <row r="83" spans="1:13" ht="24">
      <c r="A83" s="130" t="s">
        <v>1705</v>
      </c>
      <c r="B83" s="184" t="s">
        <v>1213</v>
      </c>
      <c r="C83" s="124" t="s">
        <v>1625</v>
      </c>
      <c r="D83" s="124" t="s">
        <v>852</v>
      </c>
      <c r="E83" s="124" t="s">
        <v>1450</v>
      </c>
      <c r="F83" s="124" t="s">
        <v>1706</v>
      </c>
      <c r="G83" s="132">
        <f>G84</f>
        <v>299</v>
      </c>
      <c r="H83" s="132">
        <f>H84</f>
        <v>299</v>
      </c>
      <c r="K83" s="132">
        <f>K84</f>
        <v>297.1</v>
      </c>
      <c r="L83" s="604">
        <f t="shared" si="6"/>
        <v>99.36454849498328</v>
      </c>
      <c r="M83" s="605">
        <f t="shared" si="7"/>
        <v>99.36454849498328</v>
      </c>
    </row>
    <row r="84" spans="1:13" ht="24">
      <c r="A84" s="134" t="s">
        <v>386</v>
      </c>
      <c r="B84" s="184" t="s">
        <v>1213</v>
      </c>
      <c r="C84" s="124" t="s">
        <v>1625</v>
      </c>
      <c r="D84" s="124" t="s">
        <v>852</v>
      </c>
      <c r="E84" s="124" t="s">
        <v>1450</v>
      </c>
      <c r="F84" s="124" t="s">
        <v>846</v>
      </c>
      <c r="G84" s="135">
        <v>299</v>
      </c>
      <c r="H84" s="135">
        <v>299</v>
      </c>
      <c r="K84" s="135">
        <v>297.1</v>
      </c>
      <c r="L84" s="604">
        <f t="shared" si="6"/>
        <v>99.36454849498328</v>
      </c>
      <c r="M84" s="605">
        <f t="shared" si="7"/>
        <v>99.36454849498328</v>
      </c>
    </row>
    <row r="85" spans="1:13" ht="60">
      <c r="A85" s="134" t="s">
        <v>1300</v>
      </c>
      <c r="B85" s="184" t="s">
        <v>1213</v>
      </c>
      <c r="C85" s="124" t="s">
        <v>1625</v>
      </c>
      <c r="D85" s="124" t="s">
        <v>852</v>
      </c>
      <c r="E85" s="124" t="s">
        <v>537</v>
      </c>
      <c r="F85" s="124"/>
      <c r="G85" s="132">
        <f>G86</f>
        <v>1676</v>
      </c>
      <c r="H85" s="132">
        <f>H86</f>
        <v>2033</v>
      </c>
      <c r="K85" s="132">
        <f>K86</f>
        <v>1320.3</v>
      </c>
      <c r="L85" s="604">
        <f t="shared" si="6"/>
        <v>78.77684964200478</v>
      </c>
      <c r="M85" s="605">
        <f t="shared" si="7"/>
        <v>64.94343334972946</v>
      </c>
    </row>
    <row r="86" spans="1:13" ht="24">
      <c r="A86" s="129" t="s">
        <v>752</v>
      </c>
      <c r="B86" s="184" t="s">
        <v>1213</v>
      </c>
      <c r="C86" s="124" t="s">
        <v>1625</v>
      </c>
      <c r="D86" s="124" t="s">
        <v>852</v>
      </c>
      <c r="E86" s="124" t="s">
        <v>537</v>
      </c>
      <c r="F86" s="124" t="s">
        <v>751</v>
      </c>
      <c r="G86" s="132">
        <f>G87</f>
        <v>1676</v>
      </c>
      <c r="H86" s="132">
        <f>H87</f>
        <v>2033</v>
      </c>
      <c r="K86" s="132">
        <f>K87</f>
        <v>1320.3</v>
      </c>
      <c r="L86" s="604">
        <f t="shared" si="6"/>
        <v>78.77684964200478</v>
      </c>
      <c r="M86" s="605">
        <f t="shared" si="7"/>
        <v>64.94343334972946</v>
      </c>
    </row>
    <row r="87" spans="1:13" ht="24">
      <c r="A87" s="134" t="s">
        <v>1435</v>
      </c>
      <c r="B87" s="184" t="s">
        <v>1213</v>
      </c>
      <c r="C87" s="124" t="s">
        <v>1625</v>
      </c>
      <c r="D87" s="124" t="s">
        <v>852</v>
      </c>
      <c r="E87" s="124" t="s">
        <v>537</v>
      </c>
      <c r="F87" s="124" t="s">
        <v>1436</v>
      </c>
      <c r="G87" s="135">
        <f>1676</f>
        <v>1676</v>
      </c>
      <c r="H87" s="135">
        <f>1676+2072-715-1000</f>
        <v>2033</v>
      </c>
      <c r="K87" s="135">
        <v>1320.3</v>
      </c>
      <c r="L87" s="604">
        <f t="shared" si="6"/>
        <v>78.77684964200478</v>
      </c>
      <c r="M87" s="605">
        <f t="shared" si="7"/>
        <v>64.94343334972946</v>
      </c>
    </row>
    <row r="88" spans="1:13" ht="36">
      <c r="A88" s="129" t="s">
        <v>1549</v>
      </c>
      <c r="B88" s="184" t="s">
        <v>1213</v>
      </c>
      <c r="C88" s="124" t="s">
        <v>1625</v>
      </c>
      <c r="D88" s="124" t="s">
        <v>852</v>
      </c>
      <c r="E88" s="124" t="s">
        <v>538</v>
      </c>
      <c r="F88" s="124"/>
      <c r="G88" s="132">
        <f>G89</f>
        <v>9839</v>
      </c>
      <c r="H88" s="132">
        <f>H89</f>
        <v>9839</v>
      </c>
      <c r="K88" s="132">
        <f>K89</f>
        <v>8095.799999999999</v>
      </c>
      <c r="L88" s="604">
        <f t="shared" si="6"/>
        <v>82.28275231222685</v>
      </c>
      <c r="M88" s="605">
        <f t="shared" si="7"/>
        <v>82.28275231222685</v>
      </c>
    </row>
    <row r="89" spans="1:13" ht="24">
      <c r="A89" s="129" t="s">
        <v>127</v>
      </c>
      <c r="B89" s="184" t="s">
        <v>1213</v>
      </c>
      <c r="C89" s="124" t="s">
        <v>1625</v>
      </c>
      <c r="D89" s="124" t="s">
        <v>852</v>
      </c>
      <c r="E89" s="124" t="s">
        <v>538</v>
      </c>
      <c r="F89" s="124" t="s">
        <v>751</v>
      </c>
      <c r="G89" s="132">
        <f>G90+G91</f>
        <v>9839</v>
      </c>
      <c r="H89" s="132">
        <f>H90+H91</f>
        <v>9839</v>
      </c>
      <c r="K89" s="132">
        <f>K90+K91</f>
        <v>8095.799999999999</v>
      </c>
      <c r="L89" s="604">
        <f t="shared" si="6"/>
        <v>82.28275231222685</v>
      </c>
      <c r="M89" s="605">
        <f t="shared" si="7"/>
        <v>82.28275231222685</v>
      </c>
    </row>
    <row r="90" spans="1:13" ht="24">
      <c r="A90" s="134" t="s">
        <v>1435</v>
      </c>
      <c r="B90" s="184" t="s">
        <v>1213</v>
      </c>
      <c r="C90" s="124" t="s">
        <v>1625</v>
      </c>
      <c r="D90" s="124" t="s">
        <v>852</v>
      </c>
      <c r="E90" s="124" t="s">
        <v>538</v>
      </c>
      <c r="F90" s="124" t="s">
        <v>1436</v>
      </c>
      <c r="G90" s="135">
        <v>181</v>
      </c>
      <c r="H90" s="135">
        <v>181</v>
      </c>
      <c r="K90" s="135">
        <v>121.9</v>
      </c>
      <c r="L90" s="604">
        <f t="shared" si="6"/>
        <v>67.34806629834254</v>
      </c>
      <c r="M90" s="605">
        <f t="shared" si="7"/>
        <v>67.34806629834254</v>
      </c>
    </row>
    <row r="91" spans="1:13" ht="24">
      <c r="A91" s="134" t="s">
        <v>996</v>
      </c>
      <c r="B91" s="184" t="s">
        <v>1213</v>
      </c>
      <c r="C91" s="124" t="s">
        <v>1625</v>
      </c>
      <c r="D91" s="124" t="s">
        <v>852</v>
      </c>
      <c r="E91" s="124" t="s">
        <v>538</v>
      </c>
      <c r="F91" s="124" t="s">
        <v>1502</v>
      </c>
      <c r="G91" s="135">
        <v>9658</v>
      </c>
      <c r="H91" s="135">
        <v>9658</v>
      </c>
      <c r="K91" s="135">
        <v>7973.9</v>
      </c>
      <c r="L91" s="604">
        <f t="shared" si="6"/>
        <v>82.5626423690205</v>
      </c>
      <c r="M91" s="605">
        <f t="shared" si="7"/>
        <v>82.5626423690205</v>
      </c>
    </row>
    <row r="92" spans="1:13" ht="36">
      <c r="A92" s="111" t="s">
        <v>1228</v>
      </c>
      <c r="B92" s="184" t="s">
        <v>1213</v>
      </c>
      <c r="C92" s="124" t="s">
        <v>1625</v>
      </c>
      <c r="D92" s="124" t="s">
        <v>852</v>
      </c>
      <c r="E92" s="124" t="s">
        <v>1227</v>
      </c>
      <c r="F92" s="124"/>
      <c r="G92" s="132">
        <f>G93</f>
        <v>37</v>
      </c>
      <c r="H92" s="132">
        <f>H93</f>
        <v>0</v>
      </c>
      <c r="K92" s="132">
        <f>K93</f>
        <v>0</v>
      </c>
      <c r="L92" s="604">
        <f t="shared" si="6"/>
        <v>0</v>
      </c>
      <c r="M92" s="604">
        <v>0</v>
      </c>
    </row>
    <row r="93" spans="1:13" ht="24">
      <c r="A93" s="129" t="s">
        <v>752</v>
      </c>
      <c r="B93" s="184" t="s">
        <v>1213</v>
      </c>
      <c r="C93" s="124" t="s">
        <v>1625</v>
      </c>
      <c r="D93" s="124" t="s">
        <v>852</v>
      </c>
      <c r="E93" s="124" t="s">
        <v>1227</v>
      </c>
      <c r="F93" s="124" t="s">
        <v>751</v>
      </c>
      <c r="G93" s="132">
        <f>G94</f>
        <v>37</v>
      </c>
      <c r="H93" s="132">
        <f>H94</f>
        <v>0</v>
      </c>
      <c r="K93" s="132">
        <f>K94</f>
        <v>0</v>
      </c>
      <c r="L93" s="604">
        <f t="shared" si="6"/>
        <v>0</v>
      </c>
      <c r="M93" s="604">
        <v>0</v>
      </c>
    </row>
    <row r="94" spans="1:13" ht="24">
      <c r="A94" s="134" t="s">
        <v>996</v>
      </c>
      <c r="B94" s="184" t="s">
        <v>1213</v>
      </c>
      <c r="C94" s="124" t="s">
        <v>1625</v>
      </c>
      <c r="D94" s="124" t="s">
        <v>852</v>
      </c>
      <c r="E94" s="124" t="s">
        <v>1227</v>
      </c>
      <c r="F94" s="124" t="s">
        <v>1502</v>
      </c>
      <c r="G94" s="135">
        <v>37</v>
      </c>
      <c r="H94" s="135">
        <v>0</v>
      </c>
      <c r="K94" s="135">
        <v>0</v>
      </c>
      <c r="L94" s="604">
        <f t="shared" si="6"/>
        <v>0</v>
      </c>
      <c r="M94" s="604">
        <v>0</v>
      </c>
    </row>
    <row r="95" spans="1:13" ht="72">
      <c r="A95" s="134" t="s">
        <v>854</v>
      </c>
      <c r="B95" s="184" t="s">
        <v>1213</v>
      </c>
      <c r="C95" s="127" t="s">
        <v>1625</v>
      </c>
      <c r="D95" s="127" t="s">
        <v>852</v>
      </c>
      <c r="E95" s="124" t="s">
        <v>855</v>
      </c>
      <c r="F95" s="127"/>
      <c r="G95" s="202">
        <f>G96</f>
        <v>0</v>
      </c>
      <c r="H95" s="202">
        <f>H96</f>
        <v>1000</v>
      </c>
      <c r="K95" s="202">
        <f>K96</f>
        <v>1000</v>
      </c>
      <c r="L95" s="604">
        <v>0</v>
      </c>
      <c r="M95" s="605">
        <f t="shared" si="7"/>
        <v>100</v>
      </c>
    </row>
    <row r="96" spans="1:13" ht="24">
      <c r="A96" s="129" t="s">
        <v>752</v>
      </c>
      <c r="B96" s="184" t="s">
        <v>1213</v>
      </c>
      <c r="C96" s="127" t="s">
        <v>1625</v>
      </c>
      <c r="D96" s="127" t="s">
        <v>852</v>
      </c>
      <c r="E96" s="124" t="s">
        <v>855</v>
      </c>
      <c r="F96" s="127" t="s">
        <v>751</v>
      </c>
      <c r="G96" s="202">
        <f>G97</f>
        <v>0</v>
      </c>
      <c r="H96" s="202">
        <f>H97</f>
        <v>1000</v>
      </c>
      <c r="K96" s="202">
        <f>K97</f>
        <v>1000</v>
      </c>
      <c r="L96" s="604">
        <v>0</v>
      </c>
      <c r="M96" s="605">
        <f t="shared" si="7"/>
        <v>100</v>
      </c>
    </row>
    <row r="97" spans="1:13" ht="24">
      <c r="A97" s="134" t="s">
        <v>996</v>
      </c>
      <c r="B97" s="184" t="s">
        <v>1213</v>
      </c>
      <c r="C97" s="127" t="s">
        <v>1625</v>
      </c>
      <c r="D97" s="127" t="s">
        <v>852</v>
      </c>
      <c r="E97" s="124" t="s">
        <v>855</v>
      </c>
      <c r="F97" s="127" t="s">
        <v>1502</v>
      </c>
      <c r="G97" s="135">
        <v>0</v>
      </c>
      <c r="H97" s="135">
        <v>1000</v>
      </c>
      <c r="K97" s="135">
        <v>1000</v>
      </c>
      <c r="L97" s="604">
        <v>0</v>
      </c>
      <c r="M97" s="605">
        <f t="shared" si="7"/>
        <v>100</v>
      </c>
    </row>
    <row r="98" spans="1:13" ht="48">
      <c r="A98" s="201" t="s">
        <v>1381</v>
      </c>
      <c r="B98" s="184" t="s">
        <v>1213</v>
      </c>
      <c r="C98" s="124" t="s">
        <v>1625</v>
      </c>
      <c r="D98" s="124" t="s">
        <v>852</v>
      </c>
      <c r="E98" s="124" t="s">
        <v>1382</v>
      </c>
      <c r="F98" s="124"/>
      <c r="G98" s="132">
        <f>G99</f>
        <v>0</v>
      </c>
      <c r="H98" s="132">
        <f>H99</f>
        <v>1337.4</v>
      </c>
      <c r="K98" s="132">
        <f>K99</f>
        <v>1337.4</v>
      </c>
      <c r="L98" s="604">
        <v>0</v>
      </c>
      <c r="M98" s="605">
        <f t="shared" si="7"/>
        <v>100</v>
      </c>
    </row>
    <row r="99" spans="1:13" ht="24">
      <c r="A99" s="129" t="s">
        <v>752</v>
      </c>
      <c r="B99" s="184" t="s">
        <v>1213</v>
      </c>
      <c r="C99" s="124" t="s">
        <v>1625</v>
      </c>
      <c r="D99" s="124" t="s">
        <v>852</v>
      </c>
      <c r="E99" s="124" t="s">
        <v>1382</v>
      </c>
      <c r="F99" s="124" t="s">
        <v>751</v>
      </c>
      <c r="G99" s="132">
        <f>G100</f>
        <v>0</v>
      </c>
      <c r="H99" s="132">
        <f>H100</f>
        <v>1337.4</v>
      </c>
      <c r="K99" s="132">
        <f>K100</f>
        <v>1337.4</v>
      </c>
      <c r="L99" s="604">
        <v>0</v>
      </c>
      <c r="M99" s="605">
        <f t="shared" si="7"/>
        <v>100</v>
      </c>
    </row>
    <row r="100" spans="1:13" ht="24">
      <c r="A100" s="134" t="s">
        <v>996</v>
      </c>
      <c r="B100" s="184" t="s">
        <v>1213</v>
      </c>
      <c r="C100" s="124" t="s">
        <v>1625</v>
      </c>
      <c r="D100" s="124" t="s">
        <v>852</v>
      </c>
      <c r="E100" s="124" t="s">
        <v>1382</v>
      </c>
      <c r="F100" s="124" t="s">
        <v>1502</v>
      </c>
      <c r="G100" s="135">
        <v>0</v>
      </c>
      <c r="H100" s="135">
        <v>1337.4</v>
      </c>
      <c r="K100" s="135">
        <v>1337.4</v>
      </c>
      <c r="L100" s="604">
        <v>0</v>
      </c>
      <c r="M100" s="605">
        <f t="shared" si="7"/>
        <v>100</v>
      </c>
    </row>
    <row r="101" spans="1:13" ht="48">
      <c r="A101" s="134" t="s">
        <v>856</v>
      </c>
      <c r="B101" s="184" t="s">
        <v>1213</v>
      </c>
      <c r="C101" s="124" t="s">
        <v>1625</v>
      </c>
      <c r="D101" s="124" t="s">
        <v>852</v>
      </c>
      <c r="E101" s="124" t="s">
        <v>857</v>
      </c>
      <c r="F101" s="124"/>
      <c r="G101" s="202">
        <f>G102</f>
        <v>0</v>
      </c>
      <c r="H101" s="202">
        <f>H102</f>
        <v>889.9</v>
      </c>
      <c r="K101" s="202">
        <f>K102</f>
        <v>889.9</v>
      </c>
      <c r="L101" s="604">
        <v>0</v>
      </c>
      <c r="M101" s="605">
        <f t="shared" si="7"/>
        <v>100</v>
      </c>
    </row>
    <row r="102" spans="1:13" ht="24">
      <c r="A102" s="129" t="s">
        <v>752</v>
      </c>
      <c r="B102" s="184" t="s">
        <v>1213</v>
      </c>
      <c r="C102" s="124" t="s">
        <v>1625</v>
      </c>
      <c r="D102" s="124" t="s">
        <v>852</v>
      </c>
      <c r="E102" s="124" t="s">
        <v>857</v>
      </c>
      <c r="F102" s="124" t="s">
        <v>751</v>
      </c>
      <c r="G102" s="202">
        <f>G103</f>
        <v>0</v>
      </c>
      <c r="H102" s="202">
        <f>H103</f>
        <v>889.9</v>
      </c>
      <c r="K102" s="202">
        <f>K103</f>
        <v>889.9</v>
      </c>
      <c r="L102" s="604">
        <v>0</v>
      </c>
      <c r="M102" s="605">
        <f t="shared" si="7"/>
        <v>100</v>
      </c>
    </row>
    <row r="103" spans="1:13" ht="24">
      <c r="A103" s="134" t="s">
        <v>996</v>
      </c>
      <c r="B103" s="184" t="s">
        <v>1213</v>
      </c>
      <c r="C103" s="124" t="s">
        <v>1625</v>
      </c>
      <c r="D103" s="124" t="s">
        <v>852</v>
      </c>
      <c r="E103" s="124" t="s">
        <v>857</v>
      </c>
      <c r="F103" s="124" t="s">
        <v>1502</v>
      </c>
      <c r="G103" s="135">
        <v>0</v>
      </c>
      <c r="H103" s="135">
        <v>889.9</v>
      </c>
      <c r="K103" s="135">
        <v>889.9</v>
      </c>
      <c r="L103" s="604">
        <v>0</v>
      </c>
      <c r="M103" s="605">
        <f t="shared" si="7"/>
        <v>100</v>
      </c>
    </row>
    <row r="104" spans="1:13" ht="24">
      <c r="A104" s="112" t="s">
        <v>1271</v>
      </c>
      <c r="B104" s="184" t="s">
        <v>1213</v>
      </c>
      <c r="C104" s="124" t="s">
        <v>1625</v>
      </c>
      <c r="D104" s="124" t="s">
        <v>852</v>
      </c>
      <c r="E104" s="124" t="s">
        <v>1270</v>
      </c>
      <c r="F104" s="124"/>
      <c r="G104" s="132">
        <f>G105</f>
        <v>1000</v>
      </c>
      <c r="H104" s="132">
        <f>H105</f>
        <v>1000</v>
      </c>
      <c r="K104" s="132">
        <f>K105</f>
        <v>1000</v>
      </c>
      <c r="L104" s="604">
        <f>K104/G104*100</f>
        <v>100</v>
      </c>
      <c r="M104" s="605">
        <f t="shared" si="7"/>
        <v>100</v>
      </c>
    </row>
    <row r="105" spans="1:13" ht="24">
      <c r="A105" s="129" t="s">
        <v>752</v>
      </c>
      <c r="B105" s="184" t="s">
        <v>1213</v>
      </c>
      <c r="C105" s="124" t="s">
        <v>1625</v>
      </c>
      <c r="D105" s="124" t="s">
        <v>852</v>
      </c>
      <c r="E105" s="124" t="s">
        <v>1270</v>
      </c>
      <c r="F105" s="124" t="s">
        <v>751</v>
      </c>
      <c r="G105" s="132">
        <f>G106</f>
        <v>1000</v>
      </c>
      <c r="H105" s="132">
        <f>H106</f>
        <v>1000</v>
      </c>
      <c r="K105" s="132">
        <f>K106</f>
        <v>1000</v>
      </c>
      <c r="L105" s="604">
        <f>K105/G105*100</f>
        <v>100</v>
      </c>
      <c r="M105" s="605">
        <f t="shared" si="7"/>
        <v>100</v>
      </c>
    </row>
    <row r="106" spans="1:13" ht="24">
      <c r="A106" s="134" t="s">
        <v>996</v>
      </c>
      <c r="B106" s="184" t="s">
        <v>1213</v>
      </c>
      <c r="C106" s="124" t="s">
        <v>1625</v>
      </c>
      <c r="D106" s="124" t="s">
        <v>852</v>
      </c>
      <c r="E106" s="124" t="s">
        <v>1270</v>
      </c>
      <c r="F106" s="124" t="s">
        <v>1502</v>
      </c>
      <c r="G106" s="135">
        <v>1000</v>
      </c>
      <c r="H106" s="135">
        <v>1000</v>
      </c>
      <c r="K106" s="135">
        <v>1000</v>
      </c>
      <c r="L106" s="604">
        <f>K106/G106*100</f>
        <v>100</v>
      </c>
      <c r="M106" s="605">
        <f t="shared" si="7"/>
        <v>100</v>
      </c>
    </row>
    <row r="107" spans="1:13" ht="24">
      <c r="A107" s="129" t="s">
        <v>592</v>
      </c>
      <c r="B107" s="184" t="s">
        <v>1213</v>
      </c>
      <c r="C107" s="127" t="s">
        <v>1625</v>
      </c>
      <c r="D107" s="127" t="s">
        <v>852</v>
      </c>
      <c r="E107" s="124" t="s">
        <v>539</v>
      </c>
      <c r="F107" s="124" t="s">
        <v>107</v>
      </c>
      <c r="G107" s="132">
        <f>G108</f>
        <v>0</v>
      </c>
      <c r="H107" s="132">
        <f>H108</f>
        <v>1005.6</v>
      </c>
      <c r="K107" s="132">
        <f>K108</f>
        <v>1005.4</v>
      </c>
      <c r="L107" s="604">
        <v>0</v>
      </c>
      <c r="M107" s="605">
        <f t="shared" si="7"/>
        <v>99.98011137629275</v>
      </c>
    </row>
    <row r="108" spans="1:13" ht="36">
      <c r="A108" s="129" t="s">
        <v>387</v>
      </c>
      <c r="B108" s="184" t="s">
        <v>1213</v>
      </c>
      <c r="C108" s="127" t="s">
        <v>1625</v>
      </c>
      <c r="D108" s="127" t="s">
        <v>852</v>
      </c>
      <c r="E108" s="124" t="s">
        <v>539</v>
      </c>
      <c r="F108" s="124" t="s">
        <v>2</v>
      </c>
      <c r="G108" s="132">
        <f>G109</f>
        <v>0</v>
      </c>
      <c r="H108" s="132">
        <f>H109</f>
        <v>1005.6</v>
      </c>
      <c r="K108" s="132">
        <f>K109</f>
        <v>1005.4</v>
      </c>
      <c r="L108" s="604">
        <v>0</v>
      </c>
      <c r="M108" s="605">
        <f t="shared" si="7"/>
        <v>99.98011137629275</v>
      </c>
    </row>
    <row r="109" spans="1:13" ht="36">
      <c r="A109" s="129" t="s">
        <v>1301</v>
      </c>
      <c r="B109" s="184" t="s">
        <v>1213</v>
      </c>
      <c r="C109" s="127" t="s">
        <v>1625</v>
      </c>
      <c r="D109" s="127" t="s">
        <v>852</v>
      </c>
      <c r="E109" s="124" t="s">
        <v>539</v>
      </c>
      <c r="F109" s="124" t="s">
        <v>2</v>
      </c>
      <c r="G109" s="135">
        <v>0</v>
      </c>
      <c r="H109" s="135">
        <v>1005.6</v>
      </c>
      <c r="K109" s="135">
        <v>1005.4</v>
      </c>
      <c r="L109" s="604">
        <v>0</v>
      </c>
      <c r="M109" s="605">
        <f t="shared" si="7"/>
        <v>99.98011137629275</v>
      </c>
    </row>
    <row r="110" spans="1:13" ht="24">
      <c r="A110" s="129" t="s">
        <v>752</v>
      </c>
      <c r="B110" s="184" t="s">
        <v>1213</v>
      </c>
      <c r="C110" s="127" t="s">
        <v>1625</v>
      </c>
      <c r="D110" s="127" t="s">
        <v>852</v>
      </c>
      <c r="E110" s="124" t="s">
        <v>539</v>
      </c>
      <c r="F110" s="124" t="s">
        <v>751</v>
      </c>
      <c r="G110" s="132">
        <f>G111+G114</f>
        <v>198082</v>
      </c>
      <c r="H110" s="132">
        <f>H111+H114</f>
        <v>249786.8</v>
      </c>
      <c r="K110" s="132">
        <f>K111+K114</f>
        <v>244737.8</v>
      </c>
      <c r="L110" s="604">
        <f>K110/G110*100</f>
        <v>123.55378075746408</v>
      </c>
      <c r="M110" s="605">
        <f t="shared" si="7"/>
        <v>97.97867621507622</v>
      </c>
    </row>
    <row r="111" spans="1:13" ht="24">
      <c r="A111" s="134" t="s">
        <v>18</v>
      </c>
      <c r="B111" s="184" t="s">
        <v>1213</v>
      </c>
      <c r="C111" s="127" t="s">
        <v>1625</v>
      </c>
      <c r="D111" s="127" t="s">
        <v>852</v>
      </c>
      <c r="E111" s="124" t="s">
        <v>539</v>
      </c>
      <c r="F111" s="127" t="s">
        <v>1436</v>
      </c>
      <c r="G111" s="135">
        <f>3147+G112+G113</f>
        <v>3147</v>
      </c>
      <c r="H111" s="135">
        <f>3147+H112+H113</f>
        <v>5946</v>
      </c>
      <c r="K111" s="135">
        <v>5851.4</v>
      </c>
      <c r="L111" s="604">
        <f>K111/G111*100</f>
        <v>185.93581188433427</v>
      </c>
      <c r="M111" s="605">
        <f t="shared" si="7"/>
        <v>98.40901446350487</v>
      </c>
    </row>
    <row r="112" spans="1:13" ht="24">
      <c r="A112" s="134" t="s">
        <v>49</v>
      </c>
      <c r="B112" s="184" t="s">
        <v>1213</v>
      </c>
      <c r="C112" s="127" t="s">
        <v>1625</v>
      </c>
      <c r="D112" s="127" t="s">
        <v>852</v>
      </c>
      <c r="E112" s="124" t="s">
        <v>539</v>
      </c>
      <c r="F112" s="127" t="s">
        <v>1436</v>
      </c>
      <c r="G112" s="135">
        <v>0</v>
      </c>
      <c r="H112" s="135">
        <f>1500+1150-211</f>
        <v>2439</v>
      </c>
      <c r="K112" s="135">
        <v>2438.5</v>
      </c>
      <c r="L112" s="604">
        <v>0</v>
      </c>
      <c r="M112" s="605">
        <f t="shared" si="7"/>
        <v>99.97949979499795</v>
      </c>
    </row>
    <row r="113" spans="1:13" ht="24">
      <c r="A113" s="134" t="s">
        <v>50</v>
      </c>
      <c r="B113" s="184" t="s">
        <v>1213</v>
      </c>
      <c r="C113" s="127" t="s">
        <v>1625</v>
      </c>
      <c r="D113" s="127" t="s">
        <v>852</v>
      </c>
      <c r="E113" s="124" t="s">
        <v>539</v>
      </c>
      <c r="F113" s="127" t="s">
        <v>1436</v>
      </c>
      <c r="G113" s="135">
        <v>0</v>
      </c>
      <c r="H113" s="135">
        <v>360</v>
      </c>
      <c r="K113" s="135">
        <v>359.1</v>
      </c>
      <c r="L113" s="604">
        <v>0</v>
      </c>
      <c r="M113" s="605">
        <f t="shared" si="7"/>
        <v>99.75</v>
      </c>
    </row>
    <row r="114" spans="1:13" ht="24">
      <c r="A114" s="134" t="s">
        <v>1682</v>
      </c>
      <c r="B114" s="184" t="s">
        <v>1213</v>
      </c>
      <c r="C114" s="127" t="s">
        <v>1625</v>
      </c>
      <c r="D114" s="127" t="s">
        <v>852</v>
      </c>
      <c r="E114" s="124" t="s">
        <v>539</v>
      </c>
      <c r="F114" s="127" t="s">
        <v>1502</v>
      </c>
      <c r="G114" s="135">
        <v>194935</v>
      </c>
      <c r="H114" s="135">
        <f>171935+23000+H118+H119+H120-1600+33.4+350+4440-74+H123-133.7+H124+H125+H126+H127+H128-563.3-366.7-246+H131+H132+H133+H134-400+H135+H136+H129+H130+110+H137-400-1650+H138-105-350+H139+H141+H142-1366+H143-500+H140+H144+H145-350</f>
        <v>243840.8</v>
      </c>
      <c r="K114" s="135">
        <v>238886.4</v>
      </c>
      <c r="L114" s="604">
        <f>K114/G114*100</f>
        <v>122.54669505219688</v>
      </c>
      <c r="M114" s="605">
        <f t="shared" si="7"/>
        <v>97.96818251908623</v>
      </c>
    </row>
    <row r="115" spans="1:13" ht="24">
      <c r="A115" s="134" t="s">
        <v>432</v>
      </c>
      <c r="B115" s="184" t="s">
        <v>1213</v>
      </c>
      <c r="C115" s="127" t="s">
        <v>1625</v>
      </c>
      <c r="D115" s="127" t="s">
        <v>852</v>
      </c>
      <c r="E115" s="124" t="s">
        <v>539</v>
      </c>
      <c r="F115" s="127" t="s">
        <v>1502</v>
      </c>
      <c r="G115" s="135">
        <f>30000</f>
        <v>30000</v>
      </c>
      <c r="H115" s="135">
        <f>30000-246-400-105-350</f>
        <v>28899</v>
      </c>
      <c r="K115" s="135">
        <v>28865.8</v>
      </c>
      <c r="L115" s="604">
        <f>K115/G115*100</f>
        <v>96.21933333333334</v>
      </c>
      <c r="M115" s="605">
        <f t="shared" si="7"/>
        <v>99.8851171320807</v>
      </c>
    </row>
    <row r="116" spans="1:13" ht="24">
      <c r="A116" s="134" t="s">
        <v>536</v>
      </c>
      <c r="B116" s="184" t="s">
        <v>1213</v>
      </c>
      <c r="C116" s="127" t="s">
        <v>1625</v>
      </c>
      <c r="D116" s="127" t="s">
        <v>852</v>
      </c>
      <c r="E116" s="124" t="s">
        <v>539</v>
      </c>
      <c r="F116" s="127" t="s">
        <v>1502</v>
      </c>
      <c r="G116" s="135">
        <f>2450</f>
        <v>2450</v>
      </c>
      <c r="H116" s="135">
        <f>2450-300-1650</f>
        <v>500</v>
      </c>
      <c r="K116" s="135">
        <v>200</v>
      </c>
      <c r="L116" s="604">
        <f>K116/G116*100</f>
        <v>8.16326530612245</v>
      </c>
      <c r="M116" s="605">
        <f t="shared" si="7"/>
        <v>40</v>
      </c>
    </row>
    <row r="117" spans="1:13" ht="24">
      <c r="A117" s="134" t="s">
        <v>1054</v>
      </c>
      <c r="B117" s="184" t="s">
        <v>1213</v>
      </c>
      <c r="C117" s="127" t="s">
        <v>1625</v>
      </c>
      <c r="D117" s="127" t="s">
        <v>852</v>
      </c>
      <c r="E117" s="124" t="s">
        <v>539</v>
      </c>
      <c r="F117" s="127" t="s">
        <v>1502</v>
      </c>
      <c r="G117" s="135">
        <f>23000</f>
        <v>23000</v>
      </c>
      <c r="H117" s="135">
        <f>23000-366.7</f>
        <v>22633.3</v>
      </c>
      <c r="K117" s="135">
        <f>23000-366.7</f>
        <v>22633.3</v>
      </c>
      <c r="L117" s="604">
        <f>K117/G117*100</f>
        <v>98.40565217391304</v>
      </c>
      <c r="M117" s="605">
        <f t="shared" si="7"/>
        <v>100</v>
      </c>
    </row>
    <row r="118" spans="1:13" ht="36">
      <c r="A118" s="134" t="s">
        <v>1393</v>
      </c>
      <c r="B118" s="184" t="s">
        <v>1213</v>
      </c>
      <c r="C118" s="127" t="s">
        <v>1625</v>
      </c>
      <c r="D118" s="127" t="s">
        <v>852</v>
      </c>
      <c r="E118" s="124" t="s">
        <v>539</v>
      </c>
      <c r="F118" s="127" t="s">
        <v>1502</v>
      </c>
      <c r="G118" s="135">
        <v>0</v>
      </c>
      <c r="H118" s="135">
        <f>32615.9-45-15-36-6</f>
        <v>32513.9</v>
      </c>
      <c r="K118" s="135">
        <v>32513.7</v>
      </c>
      <c r="L118" s="604">
        <v>0</v>
      </c>
      <c r="M118" s="605">
        <f t="shared" si="7"/>
        <v>99.99938487846735</v>
      </c>
    </row>
    <row r="119" spans="1:13" ht="24">
      <c r="A119" s="134" t="s">
        <v>1394</v>
      </c>
      <c r="B119" s="184" t="s">
        <v>1213</v>
      </c>
      <c r="C119" s="127" t="s">
        <v>1625</v>
      </c>
      <c r="D119" s="127" t="s">
        <v>852</v>
      </c>
      <c r="E119" s="124" t="s">
        <v>539</v>
      </c>
      <c r="F119" s="127" t="s">
        <v>1502</v>
      </c>
      <c r="G119" s="135">
        <v>0</v>
      </c>
      <c r="H119" s="135">
        <v>1458.8</v>
      </c>
      <c r="K119" s="135">
        <v>1458.8</v>
      </c>
      <c r="L119" s="604">
        <v>0</v>
      </c>
      <c r="M119" s="605">
        <f t="shared" si="7"/>
        <v>100</v>
      </c>
    </row>
    <row r="120" spans="1:13" ht="36">
      <c r="A120" s="134" t="s">
        <v>902</v>
      </c>
      <c r="B120" s="184" t="s">
        <v>1213</v>
      </c>
      <c r="C120" s="127" t="s">
        <v>1625</v>
      </c>
      <c r="D120" s="127" t="s">
        <v>852</v>
      </c>
      <c r="E120" s="124" t="s">
        <v>539</v>
      </c>
      <c r="F120" s="127" t="s">
        <v>1502</v>
      </c>
      <c r="G120" s="135">
        <v>0</v>
      </c>
      <c r="H120" s="135">
        <v>450</v>
      </c>
      <c r="K120" s="135">
        <v>450</v>
      </c>
      <c r="L120" s="604">
        <v>0</v>
      </c>
      <c r="M120" s="605">
        <f t="shared" si="7"/>
        <v>100</v>
      </c>
    </row>
    <row r="121" spans="1:13" ht="36">
      <c r="A121" s="134" t="s">
        <v>1395</v>
      </c>
      <c r="B121" s="184" t="s">
        <v>1213</v>
      </c>
      <c r="C121" s="127" t="s">
        <v>1625</v>
      </c>
      <c r="D121" s="127" t="s">
        <v>852</v>
      </c>
      <c r="E121" s="124" t="s">
        <v>539</v>
      </c>
      <c r="F121" s="127" t="s">
        <v>1502</v>
      </c>
      <c r="G121" s="135">
        <v>0</v>
      </c>
      <c r="H121" s="135">
        <v>33.4</v>
      </c>
      <c r="K121" s="135">
        <v>33.4</v>
      </c>
      <c r="L121" s="604">
        <v>0</v>
      </c>
      <c r="M121" s="605">
        <f t="shared" si="7"/>
        <v>100</v>
      </c>
    </row>
    <row r="122" spans="1:13" ht="24">
      <c r="A122" s="134" t="s">
        <v>903</v>
      </c>
      <c r="B122" s="184" t="s">
        <v>1213</v>
      </c>
      <c r="C122" s="127" t="s">
        <v>1625</v>
      </c>
      <c r="D122" s="127" t="s">
        <v>852</v>
      </c>
      <c r="E122" s="124" t="s">
        <v>539</v>
      </c>
      <c r="F122" s="127" t="s">
        <v>1502</v>
      </c>
      <c r="G122" s="135">
        <v>0</v>
      </c>
      <c r="H122" s="135">
        <v>10.6</v>
      </c>
      <c r="K122" s="135">
        <v>10.6</v>
      </c>
      <c r="L122" s="604">
        <v>0</v>
      </c>
      <c r="M122" s="605">
        <f t="shared" si="7"/>
        <v>100</v>
      </c>
    </row>
    <row r="123" spans="1:13" ht="48">
      <c r="A123" s="134" t="s">
        <v>594</v>
      </c>
      <c r="B123" s="184" t="s">
        <v>1213</v>
      </c>
      <c r="C123" s="127" t="s">
        <v>1625</v>
      </c>
      <c r="D123" s="127" t="s">
        <v>852</v>
      </c>
      <c r="E123" s="124" t="s">
        <v>539</v>
      </c>
      <c r="F123" s="127" t="s">
        <v>1502</v>
      </c>
      <c r="G123" s="135">
        <v>0</v>
      </c>
      <c r="H123" s="135">
        <f>74+15</f>
        <v>89</v>
      </c>
      <c r="K123" s="135">
        <f>74+15</f>
        <v>89</v>
      </c>
      <c r="L123" s="604">
        <v>0</v>
      </c>
      <c r="M123" s="605">
        <f t="shared" si="7"/>
        <v>100</v>
      </c>
    </row>
    <row r="124" spans="1:13" ht="60">
      <c r="A124" s="134" t="s">
        <v>595</v>
      </c>
      <c r="B124" s="184" t="s">
        <v>1213</v>
      </c>
      <c r="C124" s="127" t="s">
        <v>1625</v>
      </c>
      <c r="D124" s="127" t="s">
        <v>852</v>
      </c>
      <c r="E124" s="124" t="s">
        <v>539</v>
      </c>
      <c r="F124" s="127" t="s">
        <v>1502</v>
      </c>
      <c r="G124" s="135">
        <v>0</v>
      </c>
      <c r="H124" s="135">
        <v>133.7</v>
      </c>
      <c r="K124" s="135">
        <v>133.7</v>
      </c>
      <c r="L124" s="604">
        <v>0</v>
      </c>
      <c r="M124" s="605">
        <f t="shared" si="7"/>
        <v>100</v>
      </c>
    </row>
    <row r="125" spans="1:13" ht="24">
      <c r="A125" s="134" t="s">
        <v>596</v>
      </c>
      <c r="B125" s="184" t="s">
        <v>1213</v>
      </c>
      <c r="C125" s="127" t="s">
        <v>1625</v>
      </c>
      <c r="D125" s="127" t="s">
        <v>852</v>
      </c>
      <c r="E125" s="124" t="s">
        <v>539</v>
      </c>
      <c r="F125" s="127" t="s">
        <v>1502</v>
      </c>
      <c r="G125" s="135">
        <v>0</v>
      </c>
      <c r="H125" s="135">
        <v>5989.7</v>
      </c>
      <c r="K125" s="135">
        <v>5989.6</v>
      </c>
      <c r="L125" s="604">
        <v>0</v>
      </c>
      <c r="M125" s="605">
        <f t="shared" si="7"/>
        <v>99.99833046730221</v>
      </c>
    </row>
    <row r="126" spans="1:13" ht="24">
      <c r="A126" s="134" t="s">
        <v>597</v>
      </c>
      <c r="B126" s="184" t="s">
        <v>1213</v>
      </c>
      <c r="C126" s="127" t="s">
        <v>1625</v>
      </c>
      <c r="D126" s="127" t="s">
        <v>852</v>
      </c>
      <c r="E126" s="124" t="s">
        <v>539</v>
      </c>
      <c r="F126" s="127" t="s">
        <v>1502</v>
      </c>
      <c r="G126" s="135">
        <v>0</v>
      </c>
      <c r="H126" s="135">
        <v>250</v>
      </c>
      <c r="K126" s="135">
        <v>250</v>
      </c>
      <c r="L126" s="604">
        <v>0</v>
      </c>
      <c r="M126" s="605">
        <f t="shared" si="7"/>
        <v>100</v>
      </c>
    </row>
    <row r="127" spans="1:13" ht="24">
      <c r="A127" s="134" t="s">
        <v>598</v>
      </c>
      <c r="B127" s="184" t="s">
        <v>1213</v>
      </c>
      <c r="C127" s="127" t="s">
        <v>1625</v>
      </c>
      <c r="D127" s="127" t="s">
        <v>852</v>
      </c>
      <c r="E127" s="124" t="s">
        <v>539</v>
      </c>
      <c r="F127" s="127" t="s">
        <v>1502</v>
      </c>
      <c r="G127" s="135">
        <v>0</v>
      </c>
      <c r="H127" s="135">
        <v>380</v>
      </c>
      <c r="K127" s="135">
        <v>380</v>
      </c>
      <c r="L127" s="604">
        <v>0</v>
      </c>
      <c r="M127" s="605">
        <f t="shared" si="7"/>
        <v>100</v>
      </c>
    </row>
    <row r="128" spans="1:13" ht="24">
      <c r="A128" s="134" t="s">
        <v>599</v>
      </c>
      <c r="B128" s="184" t="s">
        <v>1213</v>
      </c>
      <c r="C128" s="127" t="s">
        <v>1625</v>
      </c>
      <c r="D128" s="127" t="s">
        <v>852</v>
      </c>
      <c r="E128" s="124" t="s">
        <v>539</v>
      </c>
      <c r="F128" s="127" t="s">
        <v>1502</v>
      </c>
      <c r="G128" s="135">
        <v>0</v>
      </c>
      <c r="H128" s="135">
        <f>300</f>
        <v>300</v>
      </c>
      <c r="K128" s="135">
        <f>300</f>
        <v>300</v>
      </c>
      <c r="L128" s="604">
        <v>0</v>
      </c>
      <c r="M128" s="605">
        <f t="shared" si="7"/>
        <v>100</v>
      </c>
    </row>
    <row r="129" spans="1:13" ht="48">
      <c r="A129" s="134" t="s">
        <v>860</v>
      </c>
      <c r="B129" s="184" t="s">
        <v>1213</v>
      </c>
      <c r="C129" s="127" t="s">
        <v>1625</v>
      </c>
      <c r="D129" s="127" t="s">
        <v>852</v>
      </c>
      <c r="E129" s="124" t="s">
        <v>539</v>
      </c>
      <c r="F129" s="127" t="s">
        <v>1502</v>
      </c>
      <c r="G129" s="135">
        <v>0</v>
      </c>
      <c r="H129" s="135">
        <v>500</v>
      </c>
      <c r="K129" s="135">
        <v>499.1</v>
      </c>
      <c r="L129" s="604">
        <v>0</v>
      </c>
      <c r="M129" s="605">
        <f t="shared" si="7"/>
        <v>99.82000000000001</v>
      </c>
    </row>
    <row r="130" spans="1:13" ht="48">
      <c r="A130" s="134" t="s">
        <v>861</v>
      </c>
      <c r="B130" s="184" t="s">
        <v>1213</v>
      </c>
      <c r="C130" s="127" t="s">
        <v>1625</v>
      </c>
      <c r="D130" s="127" t="s">
        <v>852</v>
      </c>
      <c r="E130" s="124" t="s">
        <v>539</v>
      </c>
      <c r="F130" s="127" t="s">
        <v>1502</v>
      </c>
      <c r="G130" s="135">
        <v>0</v>
      </c>
      <c r="H130" s="135">
        <v>750</v>
      </c>
      <c r="K130" s="135">
        <v>741.4</v>
      </c>
      <c r="L130" s="604">
        <v>0</v>
      </c>
      <c r="M130" s="605">
        <f t="shared" si="7"/>
        <v>98.85333333333332</v>
      </c>
    </row>
    <row r="131" spans="1:13" ht="24">
      <c r="A131" s="134" t="s">
        <v>1383</v>
      </c>
      <c r="B131" s="184" t="s">
        <v>1213</v>
      </c>
      <c r="C131" s="127" t="s">
        <v>1625</v>
      </c>
      <c r="D131" s="127" t="s">
        <v>852</v>
      </c>
      <c r="E131" s="124" t="s">
        <v>539</v>
      </c>
      <c r="F131" s="127" t="s">
        <v>1502</v>
      </c>
      <c r="G131" s="135">
        <v>0</v>
      </c>
      <c r="H131" s="135">
        <v>1200</v>
      </c>
      <c r="K131" s="135">
        <v>1200</v>
      </c>
      <c r="L131" s="604">
        <v>0</v>
      </c>
      <c r="M131" s="605">
        <f t="shared" si="7"/>
        <v>100</v>
      </c>
    </row>
    <row r="132" spans="1:13" ht="24">
      <c r="A132" s="134" t="s">
        <v>1384</v>
      </c>
      <c r="B132" s="184" t="s">
        <v>1213</v>
      </c>
      <c r="C132" s="127" t="s">
        <v>1625</v>
      </c>
      <c r="D132" s="127" t="s">
        <v>852</v>
      </c>
      <c r="E132" s="124" t="s">
        <v>539</v>
      </c>
      <c r="F132" s="127" t="s">
        <v>1502</v>
      </c>
      <c r="G132" s="135">
        <v>0</v>
      </c>
      <c r="H132" s="135">
        <v>3000</v>
      </c>
      <c r="K132" s="135">
        <v>2993.2</v>
      </c>
      <c r="L132" s="604">
        <v>0</v>
      </c>
      <c r="M132" s="605">
        <f t="shared" si="7"/>
        <v>99.77333333333333</v>
      </c>
    </row>
    <row r="133" spans="1:13" ht="24">
      <c r="A133" s="134" t="s">
        <v>1385</v>
      </c>
      <c r="B133" s="184" t="s">
        <v>1213</v>
      </c>
      <c r="C133" s="127" t="s">
        <v>1625</v>
      </c>
      <c r="D133" s="127" t="s">
        <v>852</v>
      </c>
      <c r="E133" s="124" t="s">
        <v>539</v>
      </c>
      <c r="F133" s="127" t="s">
        <v>1502</v>
      </c>
      <c r="G133" s="135">
        <v>0</v>
      </c>
      <c r="H133" s="135">
        <v>1792</v>
      </c>
      <c r="K133" s="135">
        <v>1792</v>
      </c>
      <c r="L133" s="604">
        <v>0</v>
      </c>
      <c r="M133" s="605">
        <f t="shared" si="7"/>
        <v>100</v>
      </c>
    </row>
    <row r="134" spans="1:13" ht="24">
      <c r="A134" s="134" t="s">
        <v>1386</v>
      </c>
      <c r="B134" s="184" t="s">
        <v>1213</v>
      </c>
      <c r="C134" s="127" t="s">
        <v>1625</v>
      </c>
      <c r="D134" s="127" t="s">
        <v>852</v>
      </c>
      <c r="E134" s="124" t="s">
        <v>539</v>
      </c>
      <c r="F134" s="127" t="s">
        <v>1502</v>
      </c>
      <c r="G134" s="135">
        <v>0</v>
      </c>
      <c r="H134" s="135">
        <v>650</v>
      </c>
      <c r="K134" s="135">
        <v>650</v>
      </c>
      <c r="L134" s="604">
        <v>0</v>
      </c>
      <c r="M134" s="605">
        <f t="shared" si="7"/>
        <v>100</v>
      </c>
    </row>
    <row r="135" spans="1:13" ht="24">
      <c r="A135" s="134" t="s">
        <v>880</v>
      </c>
      <c r="B135" s="184" t="s">
        <v>1213</v>
      </c>
      <c r="C135" s="127" t="s">
        <v>1625</v>
      </c>
      <c r="D135" s="127" t="s">
        <v>852</v>
      </c>
      <c r="E135" s="124" t="s">
        <v>539</v>
      </c>
      <c r="F135" s="127" t="s">
        <v>1502</v>
      </c>
      <c r="G135" s="135">
        <v>0</v>
      </c>
      <c r="H135" s="135">
        <v>300</v>
      </c>
      <c r="K135" s="135">
        <v>300</v>
      </c>
      <c r="L135" s="604">
        <v>0</v>
      </c>
      <c r="M135" s="605">
        <f t="shared" si="7"/>
        <v>100</v>
      </c>
    </row>
    <row r="136" spans="1:13" ht="72">
      <c r="A136" s="134" t="s">
        <v>1387</v>
      </c>
      <c r="B136" s="184" t="s">
        <v>1213</v>
      </c>
      <c r="C136" s="127" t="s">
        <v>1625</v>
      </c>
      <c r="D136" s="127" t="s">
        <v>852</v>
      </c>
      <c r="E136" s="124" t="s">
        <v>539</v>
      </c>
      <c r="F136" s="127" t="s">
        <v>1502</v>
      </c>
      <c r="G136" s="135">
        <v>0</v>
      </c>
      <c r="H136" s="135">
        <v>100</v>
      </c>
      <c r="K136" s="135">
        <v>100</v>
      </c>
      <c r="L136" s="604">
        <v>0</v>
      </c>
      <c r="M136" s="605">
        <f t="shared" si="7"/>
        <v>100</v>
      </c>
    </row>
    <row r="137" spans="1:13" ht="24">
      <c r="A137" s="134" t="s">
        <v>863</v>
      </c>
      <c r="B137" s="184" t="s">
        <v>1213</v>
      </c>
      <c r="C137" s="127" t="s">
        <v>1625</v>
      </c>
      <c r="D137" s="127" t="s">
        <v>852</v>
      </c>
      <c r="E137" s="124" t="s">
        <v>539</v>
      </c>
      <c r="F137" s="127" t="s">
        <v>1502</v>
      </c>
      <c r="G137" s="135">
        <v>0</v>
      </c>
      <c r="H137" s="135">
        <v>400</v>
      </c>
      <c r="K137" s="135">
        <v>400</v>
      </c>
      <c r="L137" s="604">
        <v>0</v>
      </c>
      <c r="M137" s="605">
        <f t="shared" si="7"/>
        <v>100</v>
      </c>
    </row>
    <row r="138" spans="1:13" ht="36">
      <c r="A138" s="134" t="s">
        <v>864</v>
      </c>
      <c r="B138" s="184" t="s">
        <v>1213</v>
      </c>
      <c r="C138" s="127" t="s">
        <v>1625</v>
      </c>
      <c r="D138" s="127" t="s">
        <v>852</v>
      </c>
      <c r="E138" s="124" t="s">
        <v>539</v>
      </c>
      <c r="F138" s="127" t="s">
        <v>1502</v>
      </c>
      <c r="G138" s="135">
        <v>0</v>
      </c>
      <c r="H138" s="135">
        <v>650</v>
      </c>
      <c r="K138" s="135">
        <v>549.9</v>
      </c>
      <c r="L138" s="604">
        <v>0</v>
      </c>
      <c r="M138" s="605">
        <f t="shared" si="7"/>
        <v>84.6</v>
      </c>
    </row>
    <row r="139" spans="1:13" ht="24">
      <c r="A139" s="134" t="s">
        <v>865</v>
      </c>
      <c r="B139" s="184" t="s">
        <v>1213</v>
      </c>
      <c r="C139" s="127" t="s">
        <v>1625</v>
      </c>
      <c r="D139" s="127" t="s">
        <v>852</v>
      </c>
      <c r="E139" s="124" t="s">
        <v>539</v>
      </c>
      <c r="F139" s="127" t="s">
        <v>1502</v>
      </c>
      <c r="G139" s="135">
        <v>0</v>
      </c>
      <c r="H139" s="135">
        <v>50</v>
      </c>
      <c r="K139" s="135">
        <v>50</v>
      </c>
      <c r="L139" s="604">
        <v>0</v>
      </c>
      <c r="M139" s="605">
        <f t="shared" si="7"/>
        <v>100</v>
      </c>
    </row>
    <row r="140" spans="1:13" ht="36">
      <c r="A140" s="134" t="s">
        <v>1468</v>
      </c>
      <c r="B140" s="184" t="s">
        <v>1213</v>
      </c>
      <c r="C140" s="127" t="s">
        <v>1625</v>
      </c>
      <c r="D140" s="127" t="s">
        <v>852</v>
      </c>
      <c r="E140" s="124" t="s">
        <v>539</v>
      </c>
      <c r="F140" s="127" t="s">
        <v>1502</v>
      </c>
      <c r="G140" s="135">
        <v>0</v>
      </c>
      <c r="H140" s="135">
        <v>30</v>
      </c>
      <c r="K140" s="135">
        <v>30</v>
      </c>
      <c r="L140" s="604">
        <v>0</v>
      </c>
      <c r="M140" s="605">
        <f t="shared" si="7"/>
        <v>100</v>
      </c>
    </row>
    <row r="141" spans="1:13" ht="24">
      <c r="A141" s="134" t="s">
        <v>866</v>
      </c>
      <c r="B141" s="184" t="s">
        <v>1213</v>
      </c>
      <c r="C141" s="127" t="s">
        <v>1625</v>
      </c>
      <c r="D141" s="127" t="s">
        <v>852</v>
      </c>
      <c r="E141" s="124" t="s">
        <v>539</v>
      </c>
      <c r="F141" s="127" t="s">
        <v>1502</v>
      </c>
      <c r="G141" s="135">
        <v>0</v>
      </c>
      <c r="H141" s="135">
        <v>100</v>
      </c>
      <c r="K141" s="135">
        <v>99.9</v>
      </c>
      <c r="L141" s="604">
        <v>0</v>
      </c>
      <c r="M141" s="605">
        <f aca="true" t="shared" si="8" ref="M141:M204">K141/H141*100</f>
        <v>99.9</v>
      </c>
    </row>
    <row r="142" spans="1:13" ht="24">
      <c r="A142" s="134" t="s">
        <v>867</v>
      </c>
      <c r="B142" s="184" t="s">
        <v>1213</v>
      </c>
      <c r="C142" s="127" t="s">
        <v>1625</v>
      </c>
      <c r="D142" s="127" t="s">
        <v>852</v>
      </c>
      <c r="E142" s="124" t="s">
        <v>539</v>
      </c>
      <c r="F142" s="127" t="s">
        <v>1502</v>
      </c>
      <c r="G142" s="135">
        <v>0</v>
      </c>
      <c r="H142" s="135">
        <v>200</v>
      </c>
      <c r="K142" s="135">
        <v>200</v>
      </c>
      <c r="L142" s="604">
        <v>0</v>
      </c>
      <c r="M142" s="605">
        <f t="shared" si="8"/>
        <v>100</v>
      </c>
    </row>
    <row r="143" spans="1:13" ht="24">
      <c r="A143" s="134" t="s">
        <v>1020</v>
      </c>
      <c r="B143" s="184" t="s">
        <v>1213</v>
      </c>
      <c r="C143" s="127" t="s">
        <v>1625</v>
      </c>
      <c r="D143" s="127" t="s">
        <v>852</v>
      </c>
      <c r="E143" s="124" t="s">
        <v>539</v>
      </c>
      <c r="F143" s="127" t="s">
        <v>1502</v>
      </c>
      <c r="G143" s="135">
        <v>0</v>
      </c>
      <c r="H143" s="135">
        <v>350</v>
      </c>
      <c r="K143" s="135">
        <v>350</v>
      </c>
      <c r="L143" s="604">
        <v>0</v>
      </c>
      <c r="M143" s="605">
        <f t="shared" si="8"/>
        <v>100</v>
      </c>
    </row>
    <row r="144" spans="1:13" ht="24">
      <c r="A144" s="134" t="s">
        <v>1469</v>
      </c>
      <c r="B144" s="184" t="s">
        <v>1213</v>
      </c>
      <c r="C144" s="127" t="s">
        <v>1625</v>
      </c>
      <c r="D144" s="127" t="s">
        <v>852</v>
      </c>
      <c r="E144" s="124" t="s">
        <v>539</v>
      </c>
      <c r="F144" s="127" t="s">
        <v>1502</v>
      </c>
      <c r="G144" s="135">
        <v>0</v>
      </c>
      <c r="H144" s="135">
        <v>90</v>
      </c>
      <c r="K144" s="135">
        <v>0</v>
      </c>
      <c r="L144" s="604">
        <v>0</v>
      </c>
      <c r="M144" s="605">
        <f t="shared" si="8"/>
        <v>0</v>
      </c>
    </row>
    <row r="145" spans="1:13" ht="24">
      <c r="A145" s="134" t="s">
        <v>1470</v>
      </c>
      <c r="B145" s="184" t="s">
        <v>1213</v>
      </c>
      <c r="C145" s="127" t="s">
        <v>1625</v>
      </c>
      <c r="D145" s="127" t="s">
        <v>852</v>
      </c>
      <c r="E145" s="124" t="s">
        <v>539</v>
      </c>
      <c r="F145" s="127" t="s">
        <v>1502</v>
      </c>
      <c r="G145" s="135">
        <v>0</v>
      </c>
      <c r="H145" s="135">
        <v>350</v>
      </c>
      <c r="K145" s="135">
        <v>346</v>
      </c>
      <c r="L145" s="604">
        <v>0</v>
      </c>
      <c r="M145" s="605">
        <f t="shared" si="8"/>
        <v>98.85714285714286</v>
      </c>
    </row>
    <row r="146" spans="1:13" ht="24">
      <c r="A146" s="129" t="s">
        <v>752</v>
      </c>
      <c r="B146" s="184" t="s">
        <v>1213</v>
      </c>
      <c r="C146" s="127" t="s">
        <v>1625</v>
      </c>
      <c r="D146" s="127" t="s">
        <v>852</v>
      </c>
      <c r="E146" s="127" t="s">
        <v>542</v>
      </c>
      <c r="F146" s="127" t="s">
        <v>751</v>
      </c>
      <c r="G146" s="132">
        <f>G147+G148</f>
        <v>12524</v>
      </c>
      <c r="H146" s="132">
        <f>H147+H148</f>
        <v>12004</v>
      </c>
      <c r="K146" s="132">
        <f>K147+K148</f>
        <v>11619.9</v>
      </c>
      <c r="L146" s="604">
        <f>K146/G146*100</f>
        <v>92.78106036410092</v>
      </c>
      <c r="M146" s="605">
        <f t="shared" si="8"/>
        <v>96.80023325558147</v>
      </c>
    </row>
    <row r="147" spans="1:13" ht="24">
      <c r="A147" s="134" t="s">
        <v>18</v>
      </c>
      <c r="B147" s="184" t="s">
        <v>1213</v>
      </c>
      <c r="C147" s="127" t="s">
        <v>1625</v>
      </c>
      <c r="D147" s="127" t="s">
        <v>852</v>
      </c>
      <c r="E147" s="127" t="s">
        <v>542</v>
      </c>
      <c r="F147" s="127" t="s">
        <v>1436</v>
      </c>
      <c r="G147" s="135">
        <f>12524</f>
        <v>12524</v>
      </c>
      <c r="H147" s="135">
        <f>12524-580</f>
        <v>11944</v>
      </c>
      <c r="K147" s="135">
        <v>11559.9</v>
      </c>
      <c r="L147" s="604">
        <f>K147/G147*100</f>
        <v>92.30198019801979</v>
      </c>
      <c r="M147" s="605">
        <f t="shared" si="8"/>
        <v>96.78415941058272</v>
      </c>
    </row>
    <row r="148" spans="1:13" ht="24">
      <c r="A148" s="134" t="s">
        <v>1396</v>
      </c>
      <c r="B148" s="184" t="s">
        <v>1213</v>
      </c>
      <c r="C148" s="127" t="s">
        <v>1625</v>
      </c>
      <c r="D148" s="127" t="s">
        <v>852</v>
      </c>
      <c r="E148" s="127" t="s">
        <v>542</v>
      </c>
      <c r="F148" s="127" t="s">
        <v>1436</v>
      </c>
      <c r="G148" s="135">
        <v>0</v>
      </c>
      <c r="H148" s="135">
        <v>60</v>
      </c>
      <c r="K148" s="135">
        <v>60</v>
      </c>
      <c r="L148" s="604">
        <v>0</v>
      </c>
      <c r="M148" s="605">
        <f t="shared" si="8"/>
        <v>100</v>
      </c>
    </row>
    <row r="149" spans="1:13" ht="36">
      <c r="A149" s="129" t="s">
        <v>1029</v>
      </c>
      <c r="B149" s="184" t="s">
        <v>1213</v>
      </c>
      <c r="C149" s="124" t="s">
        <v>1625</v>
      </c>
      <c r="D149" s="124" t="s">
        <v>852</v>
      </c>
      <c r="E149" s="124" t="s">
        <v>1448</v>
      </c>
      <c r="F149" s="124"/>
      <c r="G149" s="132">
        <f>G150+G156+G158+G164+G153</f>
        <v>132890</v>
      </c>
      <c r="H149" s="132">
        <f>H150+H156+H158+H164</f>
        <v>119147.9</v>
      </c>
      <c r="K149" s="132">
        <f>K150+K156+K158+K164</f>
        <v>113588.6</v>
      </c>
      <c r="L149" s="604">
        <f aca="true" t="shared" si="9" ref="L149:L159">K149/G149*100</f>
        <v>85.47565655805553</v>
      </c>
      <c r="M149" s="605">
        <f t="shared" si="8"/>
        <v>95.33411835206496</v>
      </c>
    </row>
    <row r="150" spans="1:13" ht="48" hidden="1">
      <c r="A150" s="134" t="s">
        <v>1300</v>
      </c>
      <c r="B150" s="184" t="s">
        <v>1213</v>
      </c>
      <c r="C150" s="124" t="s">
        <v>1625</v>
      </c>
      <c r="D150" s="124" t="s">
        <v>852</v>
      </c>
      <c r="E150" s="124" t="s">
        <v>89</v>
      </c>
      <c r="F150" s="124"/>
      <c r="G150" s="132">
        <f>G151</f>
        <v>0</v>
      </c>
      <c r="H150" s="132">
        <f>H151</f>
        <v>0</v>
      </c>
      <c r="K150" s="132">
        <f>K151</f>
        <v>0</v>
      </c>
      <c r="L150" s="604" t="e">
        <f t="shared" si="9"/>
        <v>#DIV/0!</v>
      </c>
      <c r="M150" s="605" t="e">
        <f t="shared" si="8"/>
        <v>#DIV/0!</v>
      </c>
    </row>
    <row r="151" spans="1:13" ht="24" hidden="1">
      <c r="A151" s="129" t="s">
        <v>752</v>
      </c>
      <c r="B151" s="184" t="s">
        <v>1213</v>
      </c>
      <c r="C151" s="124" t="s">
        <v>1625</v>
      </c>
      <c r="D151" s="124" t="s">
        <v>852</v>
      </c>
      <c r="E151" s="124" t="s">
        <v>654</v>
      </c>
      <c r="F151" s="124" t="s">
        <v>751</v>
      </c>
      <c r="G151" s="132">
        <f>G152</f>
        <v>0</v>
      </c>
      <c r="H151" s="132">
        <f>H152</f>
        <v>0</v>
      </c>
      <c r="K151" s="132">
        <f>K152</f>
        <v>0</v>
      </c>
      <c r="L151" s="604" t="e">
        <f t="shared" si="9"/>
        <v>#DIV/0!</v>
      </c>
      <c r="M151" s="605" t="e">
        <f t="shared" si="8"/>
        <v>#DIV/0!</v>
      </c>
    </row>
    <row r="152" spans="1:13" ht="15" hidden="1">
      <c r="A152" s="134" t="s">
        <v>1435</v>
      </c>
      <c r="B152" s="184" t="s">
        <v>1213</v>
      </c>
      <c r="C152" s="124" t="s">
        <v>1625</v>
      </c>
      <c r="D152" s="124" t="s">
        <v>852</v>
      </c>
      <c r="E152" s="124" t="s">
        <v>654</v>
      </c>
      <c r="F152" s="124" t="s">
        <v>1436</v>
      </c>
      <c r="G152" s="135">
        <f>2072-2072</f>
        <v>0</v>
      </c>
      <c r="H152" s="135">
        <f>2072-2072</f>
        <v>0</v>
      </c>
      <c r="K152" s="135">
        <f>2072-2072</f>
        <v>0</v>
      </c>
      <c r="L152" s="604" t="e">
        <f t="shared" si="9"/>
        <v>#DIV/0!</v>
      </c>
      <c r="M152" s="605" t="e">
        <f t="shared" si="8"/>
        <v>#DIV/0!</v>
      </c>
    </row>
    <row r="153" spans="1:13" ht="60">
      <c r="A153" s="134" t="s">
        <v>1300</v>
      </c>
      <c r="B153" s="184" t="s">
        <v>1213</v>
      </c>
      <c r="C153" s="124" t="s">
        <v>1625</v>
      </c>
      <c r="D153" s="124" t="s">
        <v>852</v>
      </c>
      <c r="E153" s="124" t="s">
        <v>654</v>
      </c>
      <c r="F153" s="124"/>
      <c r="G153" s="132">
        <f>G154</f>
        <v>2072</v>
      </c>
      <c r="H153" s="135"/>
      <c r="K153" s="135"/>
      <c r="L153" s="604">
        <f t="shared" si="9"/>
        <v>0</v>
      </c>
      <c r="M153" s="604">
        <v>0</v>
      </c>
    </row>
    <row r="154" spans="1:13" ht="24">
      <c r="A154" s="129" t="s">
        <v>752</v>
      </c>
      <c r="B154" s="184" t="s">
        <v>1213</v>
      </c>
      <c r="C154" s="124" t="s">
        <v>1625</v>
      </c>
      <c r="D154" s="124" t="s">
        <v>852</v>
      </c>
      <c r="E154" s="124" t="s">
        <v>654</v>
      </c>
      <c r="F154" s="124" t="s">
        <v>751</v>
      </c>
      <c r="G154" s="132">
        <f>G155</f>
        <v>2072</v>
      </c>
      <c r="H154" s="135"/>
      <c r="K154" s="135"/>
      <c r="L154" s="604">
        <f t="shared" si="9"/>
        <v>0</v>
      </c>
      <c r="M154" s="604">
        <v>0</v>
      </c>
    </row>
    <row r="155" spans="1:13" ht="24">
      <c r="A155" s="134" t="s">
        <v>1435</v>
      </c>
      <c r="B155" s="184" t="s">
        <v>1213</v>
      </c>
      <c r="C155" s="124" t="s">
        <v>1625</v>
      </c>
      <c r="D155" s="124" t="s">
        <v>852</v>
      </c>
      <c r="E155" s="124" t="s">
        <v>654</v>
      </c>
      <c r="F155" s="124" t="s">
        <v>1436</v>
      </c>
      <c r="G155" s="135">
        <v>2072</v>
      </c>
      <c r="H155" s="135"/>
      <c r="K155" s="135"/>
      <c r="L155" s="604">
        <f t="shared" si="9"/>
        <v>0</v>
      </c>
      <c r="M155" s="604">
        <v>0</v>
      </c>
    </row>
    <row r="156" spans="1:13" ht="24">
      <c r="A156" s="129" t="s">
        <v>752</v>
      </c>
      <c r="B156" s="184" t="s">
        <v>1213</v>
      </c>
      <c r="C156" s="127" t="s">
        <v>1625</v>
      </c>
      <c r="D156" s="127" t="s">
        <v>852</v>
      </c>
      <c r="E156" s="124" t="s">
        <v>541</v>
      </c>
      <c r="F156" s="127" t="s">
        <v>751</v>
      </c>
      <c r="G156" s="132">
        <f>G157</f>
        <v>250</v>
      </c>
      <c r="H156" s="132">
        <f>H157</f>
        <v>250</v>
      </c>
      <c r="K156" s="132">
        <f>K157</f>
        <v>0</v>
      </c>
      <c r="L156" s="604">
        <f t="shared" si="9"/>
        <v>0</v>
      </c>
      <c r="M156" s="605">
        <f t="shared" si="8"/>
        <v>0</v>
      </c>
    </row>
    <row r="157" spans="1:13" ht="24">
      <c r="A157" s="134" t="s">
        <v>996</v>
      </c>
      <c r="B157" s="184" t="s">
        <v>1213</v>
      </c>
      <c r="C157" s="127" t="s">
        <v>1625</v>
      </c>
      <c r="D157" s="127" t="s">
        <v>852</v>
      </c>
      <c r="E157" s="124" t="s">
        <v>541</v>
      </c>
      <c r="F157" s="127" t="s">
        <v>1502</v>
      </c>
      <c r="G157" s="135">
        <v>250</v>
      </c>
      <c r="H157" s="135">
        <v>250</v>
      </c>
      <c r="K157" s="135">
        <v>0</v>
      </c>
      <c r="L157" s="604">
        <f t="shared" si="9"/>
        <v>0</v>
      </c>
      <c r="M157" s="605">
        <f t="shared" si="8"/>
        <v>0</v>
      </c>
    </row>
    <row r="158" spans="1:13" ht="24">
      <c r="A158" s="129" t="s">
        <v>752</v>
      </c>
      <c r="B158" s="184" t="s">
        <v>1213</v>
      </c>
      <c r="C158" s="127" t="s">
        <v>1625</v>
      </c>
      <c r="D158" s="127" t="s">
        <v>852</v>
      </c>
      <c r="E158" s="127" t="s">
        <v>543</v>
      </c>
      <c r="F158" s="127" t="s">
        <v>751</v>
      </c>
      <c r="G158" s="132">
        <f>G159+G163</f>
        <v>101248</v>
      </c>
      <c r="H158" s="132">
        <f>H159+H163</f>
        <v>93236</v>
      </c>
      <c r="K158" s="132">
        <f>K159+K163</f>
        <v>88086.1</v>
      </c>
      <c r="L158" s="604">
        <f t="shared" si="9"/>
        <v>87.00033580910241</v>
      </c>
      <c r="M158" s="605">
        <f t="shared" si="8"/>
        <v>94.47648976790082</v>
      </c>
    </row>
    <row r="159" spans="1:13" ht="24">
      <c r="A159" s="134" t="s">
        <v>1435</v>
      </c>
      <c r="B159" s="184" t="s">
        <v>1213</v>
      </c>
      <c r="C159" s="127" t="s">
        <v>1625</v>
      </c>
      <c r="D159" s="127" t="s">
        <v>852</v>
      </c>
      <c r="E159" s="127" t="s">
        <v>543</v>
      </c>
      <c r="F159" s="127" t="s">
        <v>1436</v>
      </c>
      <c r="G159" s="135">
        <f>73710</f>
        <v>73710</v>
      </c>
      <c r="H159" s="135">
        <f>73710+240+30+30-6258-900</f>
        <v>66852</v>
      </c>
      <c r="K159" s="135">
        <v>62569.2</v>
      </c>
      <c r="L159" s="604">
        <f t="shared" si="9"/>
        <v>84.88563288563287</v>
      </c>
      <c r="M159" s="605">
        <f t="shared" si="8"/>
        <v>93.5936097648537</v>
      </c>
    </row>
    <row r="160" spans="1:13" ht="24">
      <c r="A160" s="134" t="s">
        <v>1397</v>
      </c>
      <c r="B160" s="184" t="s">
        <v>1213</v>
      </c>
      <c r="C160" s="127" t="s">
        <v>1625</v>
      </c>
      <c r="D160" s="127" t="s">
        <v>852</v>
      </c>
      <c r="E160" s="127" t="s">
        <v>543</v>
      </c>
      <c r="F160" s="127" t="s">
        <v>1436</v>
      </c>
      <c r="G160" s="135">
        <v>0</v>
      </c>
      <c r="H160" s="135">
        <v>240</v>
      </c>
      <c r="K160" s="135">
        <v>240</v>
      </c>
      <c r="L160" s="604">
        <v>0</v>
      </c>
      <c r="M160" s="605">
        <f t="shared" si="8"/>
        <v>100</v>
      </c>
    </row>
    <row r="161" spans="1:13" ht="36">
      <c r="A161" s="134" t="s">
        <v>1388</v>
      </c>
      <c r="B161" s="184" t="s">
        <v>1213</v>
      </c>
      <c r="C161" s="127" t="s">
        <v>1625</v>
      </c>
      <c r="D161" s="127" t="s">
        <v>852</v>
      </c>
      <c r="E161" s="127" t="s">
        <v>543</v>
      </c>
      <c r="F161" s="127" t="s">
        <v>1436</v>
      </c>
      <c r="G161" s="135">
        <v>0</v>
      </c>
      <c r="H161" s="135">
        <v>30</v>
      </c>
      <c r="K161" s="135">
        <v>30</v>
      </c>
      <c r="L161" s="604">
        <v>0</v>
      </c>
      <c r="M161" s="605">
        <f t="shared" si="8"/>
        <v>100</v>
      </c>
    </row>
    <row r="162" spans="1:13" ht="36">
      <c r="A162" s="134" t="s">
        <v>1389</v>
      </c>
      <c r="B162" s="184" t="s">
        <v>1213</v>
      </c>
      <c r="C162" s="127" t="s">
        <v>1625</v>
      </c>
      <c r="D162" s="127" t="s">
        <v>852</v>
      </c>
      <c r="E162" s="127" t="s">
        <v>543</v>
      </c>
      <c r="F162" s="127" t="s">
        <v>1436</v>
      </c>
      <c r="G162" s="135">
        <v>0</v>
      </c>
      <c r="H162" s="135">
        <v>30</v>
      </c>
      <c r="K162" s="135">
        <v>30</v>
      </c>
      <c r="L162" s="604">
        <v>0</v>
      </c>
      <c r="M162" s="605">
        <f t="shared" si="8"/>
        <v>100</v>
      </c>
    </row>
    <row r="163" spans="1:13" ht="24">
      <c r="A163" s="134" t="s">
        <v>996</v>
      </c>
      <c r="B163" s="184" t="s">
        <v>1213</v>
      </c>
      <c r="C163" s="127" t="s">
        <v>1625</v>
      </c>
      <c r="D163" s="127" t="s">
        <v>852</v>
      </c>
      <c r="E163" s="127" t="s">
        <v>543</v>
      </c>
      <c r="F163" s="127" t="s">
        <v>1502</v>
      </c>
      <c r="G163" s="135">
        <f>27538</f>
        <v>27538</v>
      </c>
      <c r="H163" s="135">
        <f>27538-2054+900</f>
        <v>26384</v>
      </c>
      <c r="K163" s="135">
        <v>25516.9</v>
      </c>
      <c r="L163" s="604">
        <f>K163/G163*100</f>
        <v>92.66068705062096</v>
      </c>
      <c r="M163" s="605">
        <f t="shared" si="8"/>
        <v>96.71353850818679</v>
      </c>
    </row>
    <row r="164" spans="1:13" ht="24">
      <c r="A164" s="129" t="s">
        <v>752</v>
      </c>
      <c r="B164" s="184" t="s">
        <v>1213</v>
      </c>
      <c r="C164" s="127" t="s">
        <v>1625</v>
      </c>
      <c r="D164" s="127" t="s">
        <v>852</v>
      </c>
      <c r="E164" s="127" t="s">
        <v>544</v>
      </c>
      <c r="F164" s="127" t="s">
        <v>751</v>
      </c>
      <c r="G164" s="132">
        <f>G165</f>
        <v>29320</v>
      </c>
      <c r="H164" s="132">
        <f>H165</f>
        <v>25661.899999999998</v>
      </c>
      <c r="K164" s="132">
        <f>K165</f>
        <v>25502.5</v>
      </c>
      <c r="L164" s="604">
        <f>K164/G164*100</f>
        <v>86.97987721691678</v>
      </c>
      <c r="M164" s="605">
        <f t="shared" si="8"/>
        <v>99.37884568173051</v>
      </c>
    </row>
    <row r="165" spans="1:13" ht="24">
      <c r="A165" s="134" t="s">
        <v>1435</v>
      </c>
      <c r="B165" s="184" t="s">
        <v>1213</v>
      </c>
      <c r="C165" s="127" t="s">
        <v>1625</v>
      </c>
      <c r="D165" s="127" t="s">
        <v>852</v>
      </c>
      <c r="E165" s="127" t="s">
        <v>544</v>
      </c>
      <c r="F165" s="127" t="s">
        <v>1436</v>
      </c>
      <c r="G165" s="135">
        <f>29320</f>
        <v>29320</v>
      </c>
      <c r="H165" s="135">
        <f>29320+H166-1891-5500+H167+H168+900</f>
        <v>25661.899999999998</v>
      </c>
      <c r="K165" s="135">
        <v>25502.5</v>
      </c>
      <c r="L165" s="604">
        <f>K165/G165*100</f>
        <v>86.97987721691678</v>
      </c>
      <c r="M165" s="605">
        <f t="shared" si="8"/>
        <v>99.37884568173051</v>
      </c>
    </row>
    <row r="166" spans="1:13" ht="24">
      <c r="A166" s="134" t="s">
        <v>601</v>
      </c>
      <c r="B166" s="184" t="s">
        <v>1213</v>
      </c>
      <c r="C166" s="127" t="s">
        <v>1625</v>
      </c>
      <c r="D166" s="127" t="s">
        <v>852</v>
      </c>
      <c r="E166" s="127" t="s">
        <v>544</v>
      </c>
      <c r="F166" s="127" t="s">
        <v>1436</v>
      </c>
      <c r="G166" s="135">
        <v>0</v>
      </c>
      <c r="H166" s="135">
        <v>471</v>
      </c>
      <c r="K166" s="135">
        <v>400</v>
      </c>
      <c r="L166" s="604">
        <v>0</v>
      </c>
      <c r="M166" s="605">
        <f t="shared" si="8"/>
        <v>84.92569002123143</v>
      </c>
    </row>
    <row r="167" spans="1:13" ht="24">
      <c r="A167" s="134" t="s">
        <v>868</v>
      </c>
      <c r="B167" s="184" t="s">
        <v>1213</v>
      </c>
      <c r="C167" s="127" t="s">
        <v>1625</v>
      </c>
      <c r="D167" s="127" t="s">
        <v>852</v>
      </c>
      <c r="E167" s="127" t="s">
        <v>544</v>
      </c>
      <c r="F167" s="127" t="s">
        <v>1436</v>
      </c>
      <c r="G167" s="135">
        <v>0</v>
      </c>
      <c r="H167" s="135">
        <v>2273.8</v>
      </c>
      <c r="K167" s="135">
        <v>2273.8</v>
      </c>
      <c r="L167" s="604">
        <v>0</v>
      </c>
      <c r="M167" s="605">
        <f t="shared" si="8"/>
        <v>100</v>
      </c>
    </row>
    <row r="168" spans="1:13" ht="36">
      <c r="A168" s="134" t="s">
        <v>1302</v>
      </c>
      <c r="B168" s="184" t="s">
        <v>1213</v>
      </c>
      <c r="C168" s="127" t="s">
        <v>1625</v>
      </c>
      <c r="D168" s="127" t="s">
        <v>852</v>
      </c>
      <c r="E168" s="127" t="s">
        <v>544</v>
      </c>
      <c r="F168" s="127" t="s">
        <v>1436</v>
      </c>
      <c r="G168" s="135">
        <v>0</v>
      </c>
      <c r="H168" s="135">
        <v>88.1</v>
      </c>
      <c r="K168" s="135">
        <v>88.1</v>
      </c>
      <c r="L168" s="604">
        <v>0</v>
      </c>
      <c r="M168" s="605">
        <f t="shared" si="8"/>
        <v>100</v>
      </c>
    </row>
    <row r="169" spans="1:13" ht="24">
      <c r="A169" s="137" t="s">
        <v>1455</v>
      </c>
      <c r="B169" s="184" t="s">
        <v>1213</v>
      </c>
      <c r="C169" s="127" t="s">
        <v>1625</v>
      </c>
      <c r="D169" s="127" t="s">
        <v>852</v>
      </c>
      <c r="E169" s="127" t="s">
        <v>1241</v>
      </c>
      <c r="F169" s="127"/>
      <c r="G169" s="132">
        <f>G170</f>
        <v>0</v>
      </c>
      <c r="H169" s="132">
        <f>H170</f>
        <v>1900</v>
      </c>
      <c r="K169" s="132">
        <f>K170</f>
        <v>1592.2</v>
      </c>
      <c r="L169" s="604">
        <v>0</v>
      </c>
      <c r="M169" s="605">
        <f t="shared" si="8"/>
        <v>83.80000000000001</v>
      </c>
    </row>
    <row r="170" spans="1:13" ht="36">
      <c r="A170" s="129" t="s">
        <v>1457</v>
      </c>
      <c r="B170" s="184" t="s">
        <v>1213</v>
      </c>
      <c r="C170" s="127" t="s">
        <v>1625</v>
      </c>
      <c r="D170" s="127" t="s">
        <v>852</v>
      </c>
      <c r="E170" s="127" t="s">
        <v>1240</v>
      </c>
      <c r="F170" s="127"/>
      <c r="G170" s="132">
        <f>G171</f>
        <v>0</v>
      </c>
      <c r="H170" s="132">
        <f>H171</f>
        <v>1900</v>
      </c>
      <c r="K170" s="132">
        <f>K171</f>
        <v>1592.2</v>
      </c>
      <c r="L170" s="604">
        <v>0</v>
      </c>
      <c r="M170" s="605">
        <f t="shared" si="8"/>
        <v>83.80000000000001</v>
      </c>
    </row>
    <row r="171" spans="1:13" ht="24">
      <c r="A171" s="129" t="s">
        <v>752</v>
      </c>
      <c r="B171" s="184" t="s">
        <v>1213</v>
      </c>
      <c r="C171" s="127" t="s">
        <v>1625</v>
      </c>
      <c r="D171" s="127" t="s">
        <v>852</v>
      </c>
      <c r="E171" s="127" t="s">
        <v>1251</v>
      </c>
      <c r="F171" s="127" t="s">
        <v>751</v>
      </c>
      <c r="G171" s="132">
        <f>G172+G175</f>
        <v>0</v>
      </c>
      <c r="H171" s="132">
        <f>H172+H175</f>
        <v>1900</v>
      </c>
      <c r="K171" s="132">
        <f>K172+K175</f>
        <v>1592.2</v>
      </c>
      <c r="L171" s="604">
        <v>0</v>
      </c>
      <c r="M171" s="605">
        <f t="shared" si="8"/>
        <v>83.80000000000001</v>
      </c>
    </row>
    <row r="172" spans="1:13" ht="24">
      <c r="A172" s="134" t="s">
        <v>753</v>
      </c>
      <c r="B172" s="184" t="s">
        <v>1213</v>
      </c>
      <c r="C172" s="127" t="s">
        <v>1625</v>
      </c>
      <c r="D172" s="127" t="s">
        <v>852</v>
      </c>
      <c r="E172" s="127" t="s">
        <v>1251</v>
      </c>
      <c r="F172" s="127" t="s">
        <v>1436</v>
      </c>
      <c r="G172" s="132">
        <f>G173+G174</f>
        <v>0</v>
      </c>
      <c r="H172" s="132">
        <f>H173+H174</f>
        <v>62.400000000000006</v>
      </c>
      <c r="K172" s="132">
        <f>K173+K174</f>
        <v>47</v>
      </c>
      <c r="L172" s="604">
        <v>0</v>
      </c>
      <c r="M172" s="605">
        <f t="shared" si="8"/>
        <v>75.3205128205128</v>
      </c>
    </row>
    <row r="173" spans="1:13" ht="36">
      <c r="A173" s="134" t="s">
        <v>1303</v>
      </c>
      <c r="B173" s="184" t="s">
        <v>1213</v>
      </c>
      <c r="C173" s="127" t="s">
        <v>1625</v>
      </c>
      <c r="D173" s="127" t="s">
        <v>852</v>
      </c>
      <c r="E173" s="127" t="s">
        <v>1251</v>
      </c>
      <c r="F173" s="127" t="s">
        <v>1436</v>
      </c>
      <c r="G173" s="135">
        <v>0</v>
      </c>
      <c r="H173" s="135">
        <f>83.2-57</f>
        <v>26.200000000000003</v>
      </c>
      <c r="K173" s="135">
        <f>83.2-57</f>
        <v>26.200000000000003</v>
      </c>
      <c r="L173" s="604">
        <v>0</v>
      </c>
      <c r="M173" s="605">
        <f t="shared" si="8"/>
        <v>100</v>
      </c>
    </row>
    <row r="174" spans="1:13" ht="24">
      <c r="A174" s="134" t="s">
        <v>1304</v>
      </c>
      <c r="B174" s="184" t="s">
        <v>1213</v>
      </c>
      <c r="C174" s="127" t="s">
        <v>1625</v>
      </c>
      <c r="D174" s="127" t="s">
        <v>852</v>
      </c>
      <c r="E174" s="127" t="s">
        <v>1251</v>
      </c>
      <c r="F174" s="127" t="s">
        <v>1436</v>
      </c>
      <c r="G174" s="135">
        <v>0</v>
      </c>
      <c r="H174" s="135">
        <v>36.2</v>
      </c>
      <c r="K174" s="135">
        <v>20.8</v>
      </c>
      <c r="L174" s="604">
        <v>0</v>
      </c>
      <c r="M174" s="605">
        <f t="shared" si="8"/>
        <v>57.4585635359116</v>
      </c>
    </row>
    <row r="175" spans="1:13" ht="24">
      <c r="A175" s="134" t="s">
        <v>1682</v>
      </c>
      <c r="B175" s="184" t="s">
        <v>1213</v>
      </c>
      <c r="C175" s="127" t="s">
        <v>1625</v>
      </c>
      <c r="D175" s="127" t="s">
        <v>852</v>
      </c>
      <c r="E175" s="127" t="s">
        <v>1251</v>
      </c>
      <c r="F175" s="127" t="s">
        <v>1502</v>
      </c>
      <c r="G175" s="132">
        <f>G176</f>
        <v>0</v>
      </c>
      <c r="H175" s="132">
        <f>H176</f>
        <v>1837.6</v>
      </c>
      <c r="K175" s="132">
        <f>K176</f>
        <v>1545.2</v>
      </c>
      <c r="L175" s="604">
        <v>0</v>
      </c>
      <c r="M175" s="605">
        <f t="shared" si="8"/>
        <v>84.08794079233783</v>
      </c>
    </row>
    <row r="176" spans="1:13" ht="36">
      <c r="A176" s="134" t="s">
        <v>1305</v>
      </c>
      <c r="B176" s="184" t="s">
        <v>1213</v>
      </c>
      <c r="C176" s="127" t="s">
        <v>1625</v>
      </c>
      <c r="D176" s="127" t="s">
        <v>852</v>
      </c>
      <c r="E176" s="127" t="s">
        <v>1251</v>
      </c>
      <c r="F176" s="127" t="s">
        <v>1502</v>
      </c>
      <c r="G176" s="135">
        <v>0</v>
      </c>
      <c r="H176" s="135">
        <f>1780.6+57</f>
        <v>1837.6</v>
      </c>
      <c r="K176" s="135">
        <v>1545.2</v>
      </c>
      <c r="L176" s="604">
        <v>0</v>
      </c>
      <c r="M176" s="605">
        <f t="shared" si="8"/>
        <v>84.08794079233783</v>
      </c>
    </row>
    <row r="177" spans="1:13" ht="24">
      <c r="A177" s="130" t="s">
        <v>1052</v>
      </c>
      <c r="B177" s="184" t="s">
        <v>1213</v>
      </c>
      <c r="C177" s="127" t="s">
        <v>1625</v>
      </c>
      <c r="D177" s="127" t="s">
        <v>852</v>
      </c>
      <c r="E177" s="127" t="s">
        <v>1053</v>
      </c>
      <c r="F177" s="127"/>
      <c r="G177" s="132">
        <f>G178</f>
        <v>0</v>
      </c>
      <c r="H177" s="132">
        <f>H178</f>
        <v>2000</v>
      </c>
      <c r="K177" s="132">
        <f>K178</f>
        <v>1999.6</v>
      </c>
      <c r="L177" s="604">
        <v>0</v>
      </c>
      <c r="M177" s="605">
        <f t="shared" si="8"/>
        <v>99.97999999999999</v>
      </c>
    </row>
    <row r="178" spans="1:13" ht="24">
      <c r="A178" s="129" t="s">
        <v>752</v>
      </c>
      <c r="B178" s="184" t="s">
        <v>1213</v>
      </c>
      <c r="C178" s="127" t="s">
        <v>1625</v>
      </c>
      <c r="D178" s="127" t="s">
        <v>852</v>
      </c>
      <c r="E178" s="127" t="s">
        <v>602</v>
      </c>
      <c r="F178" s="127" t="s">
        <v>751</v>
      </c>
      <c r="G178" s="132">
        <f>G179+G183</f>
        <v>0</v>
      </c>
      <c r="H178" s="132">
        <f>H179+H183</f>
        <v>2000</v>
      </c>
      <c r="K178" s="132">
        <f>K179+K183</f>
        <v>1999.6</v>
      </c>
      <c r="L178" s="604">
        <v>0</v>
      </c>
      <c r="M178" s="605">
        <f t="shared" si="8"/>
        <v>99.97999999999999</v>
      </c>
    </row>
    <row r="179" spans="1:13" ht="24">
      <c r="A179" s="134" t="s">
        <v>753</v>
      </c>
      <c r="B179" s="184" t="s">
        <v>1213</v>
      </c>
      <c r="C179" s="127" t="s">
        <v>1625</v>
      </c>
      <c r="D179" s="127" t="s">
        <v>852</v>
      </c>
      <c r="E179" s="127" t="s">
        <v>602</v>
      </c>
      <c r="F179" s="127" t="s">
        <v>1436</v>
      </c>
      <c r="G179" s="132">
        <f>G180+G181+G182</f>
        <v>0</v>
      </c>
      <c r="H179" s="132">
        <f>H180+H181+H182</f>
        <v>600</v>
      </c>
      <c r="K179" s="132">
        <f>K180+K181+K182</f>
        <v>600</v>
      </c>
      <c r="L179" s="604">
        <v>0</v>
      </c>
      <c r="M179" s="605">
        <f t="shared" si="8"/>
        <v>100</v>
      </c>
    </row>
    <row r="180" spans="1:13" ht="24">
      <c r="A180" s="129" t="s">
        <v>603</v>
      </c>
      <c r="B180" s="184" t="s">
        <v>1213</v>
      </c>
      <c r="C180" s="127" t="s">
        <v>1625</v>
      </c>
      <c r="D180" s="127" t="s">
        <v>852</v>
      </c>
      <c r="E180" s="127" t="s">
        <v>602</v>
      </c>
      <c r="F180" s="127" t="s">
        <v>1436</v>
      </c>
      <c r="G180" s="135">
        <v>0</v>
      </c>
      <c r="H180" s="135">
        <v>200</v>
      </c>
      <c r="K180" s="135">
        <v>200</v>
      </c>
      <c r="L180" s="604">
        <v>0</v>
      </c>
      <c r="M180" s="605">
        <f t="shared" si="8"/>
        <v>100</v>
      </c>
    </row>
    <row r="181" spans="1:13" ht="36">
      <c r="A181" s="129" t="s">
        <v>1471</v>
      </c>
      <c r="B181" s="184" t="s">
        <v>1213</v>
      </c>
      <c r="C181" s="127" t="s">
        <v>1625</v>
      </c>
      <c r="D181" s="127" t="s">
        <v>852</v>
      </c>
      <c r="E181" s="127" t="s">
        <v>602</v>
      </c>
      <c r="F181" s="127" t="s">
        <v>1436</v>
      </c>
      <c r="G181" s="135">
        <v>0</v>
      </c>
      <c r="H181" s="135">
        <v>200</v>
      </c>
      <c r="K181" s="135">
        <v>200</v>
      </c>
      <c r="L181" s="604">
        <v>0</v>
      </c>
      <c r="M181" s="605">
        <f t="shared" si="8"/>
        <v>100</v>
      </c>
    </row>
    <row r="182" spans="1:13" ht="48">
      <c r="A182" s="129" t="s">
        <v>1472</v>
      </c>
      <c r="B182" s="184" t="s">
        <v>1213</v>
      </c>
      <c r="C182" s="127" t="s">
        <v>1625</v>
      </c>
      <c r="D182" s="127" t="s">
        <v>852</v>
      </c>
      <c r="E182" s="127" t="s">
        <v>602</v>
      </c>
      <c r="F182" s="127" t="s">
        <v>1436</v>
      </c>
      <c r="G182" s="135">
        <v>0</v>
      </c>
      <c r="H182" s="135">
        <v>200</v>
      </c>
      <c r="K182" s="135">
        <v>200</v>
      </c>
      <c r="L182" s="604">
        <v>0</v>
      </c>
      <c r="M182" s="605">
        <f t="shared" si="8"/>
        <v>100</v>
      </c>
    </row>
    <row r="183" spans="1:13" ht="24">
      <c r="A183" s="134" t="s">
        <v>1682</v>
      </c>
      <c r="B183" s="184" t="s">
        <v>1213</v>
      </c>
      <c r="C183" s="127" t="s">
        <v>1625</v>
      </c>
      <c r="D183" s="127" t="s">
        <v>852</v>
      </c>
      <c r="E183" s="127" t="s">
        <v>602</v>
      </c>
      <c r="F183" s="127" t="s">
        <v>1502</v>
      </c>
      <c r="G183" s="132">
        <f>G184+G185</f>
        <v>0</v>
      </c>
      <c r="H183" s="132">
        <f>H184+H185</f>
        <v>1400</v>
      </c>
      <c r="K183" s="132">
        <f>K184+K185</f>
        <v>1399.6</v>
      </c>
      <c r="L183" s="604">
        <v>0</v>
      </c>
      <c r="M183" s="605">
        <f t="shared" si="8"/>
        <v>99.97142857142856</v>
      </c>
    </row>
    <row r="184" spans="1:13" ht="48">
      <c r="A184" s="129" t="s">
        <v>1473</v>
      </c>
      <c r="B184" s="184" t="s">
        <v>1213</v>
      </c>
      <c r="C184" s="127" t="s">
        <v>1625</v>
      </c>
      <c r="D184" s="127" t="s">
        <v>852</v>
      </c>
      <c r="E184" s="127" t="s">
        <v>1053</v>
      </c>
      <c r="F184" s="127" t="s">
        <v>1502</v>
      </c>
      <c r="G184" s="135">
        <v>0</v>
      </c>
      <c r="H184" s="135">
        <f>800+200</f>
        <v>1000</v>
      </c>
      <c r="K184" s="135">
        <f>800+200</f>
        <v>1000</v>
      </c>
      <c r="L184" s="604">
        <v>0</v>
      </c>
      <c r="M184" s="605">
        <f t="shared" si="8"/>
        <v>100</v>
      </c>
    </row>
    <row r="185" spans="1:13" ht="24">
      <c r="A185" s="134" t="s">
        <v>394</v>
      </c>
      <c r="B185" s="184" t="s">
        <v>1213</v>
      </c>
      <c r="C185" s="127" t="s">
        <v>1625</v>
      </c>
      <c r="D185" s="127" t="s">
        <v>852</v>
      </c>
      <c r="E185" s="127" t="s">
        <v>1053</v>
      </c>
      <c r="F185" s="127" t="s">
        <v>1502</v>
      </c>
      <c r="G185" s="135">
        <v>0</v>
      </c>
      <c r="H185" s="135">
        <v>400</v>
      </c>
      <c r="K185" s="135">
        <v>399.6</v>
      </c>
      <c r="L185" s="604">
        <v>0</v>
      </c>
      <c r="M185" s="605">
        <f t="shared" si="8"/>
        <v>99.9</v>
      </c>
    </row>
    <row r="186" spans="1:13" ht="24">
      <c r="A186" s="133" t="s">
        <v>151</v>
      </c>
      <c r="B186" s="184" t="s">
        <v>1213</v>
      </c>
      <c r="C186" s="124" t="s">
        <v>1625</v>
      </c>
      <c r="D186" s="124" t="s">
        <v>1623</v>
      </c>
      <c r="E186" s="127"/>
      <c r="F186" s="127"/>
      <c r="G186" s="132">
        <f aca="true" t="shared" si="10" ref="G186:H189">G187</f>
        <v>300</v>
      </c>
      <c r="H186" s="132">
        <f t="shared" si="10"/>
        <v>300</v>
      </c>
      <c r="K186" s="132">
        <f>K187</f>
        <v>270.8</v>
      </c>
      <c r="L186" s="604">
        <f aca="true" t="shared" si="11" ref="L186:L193">K186/G186*100</f>
        <v>90.26666666666668</v>
      </c>
      <c r="M186" s="605">
        <f t="shared" si="8"/>
        <v>90.26666666666668</v>
      </c>
    </row>
    <row r="187" spans="1:13" ht="31.5" customHeight="1">
      <c r="A187" s="141" t="s">
        <v>802</v>
      </c>
      <c r="B187" s="184" t="s">
        <v>1213</v>
      </c>
      <c r="C187" s="124" t="s">
        <v>1625</v>
      </c>
      <c r="D187" s="124" t="s">
        <v>1623</v>
      </c>
      <c r="E187" s="127" t="s">
        <v>1717</v>
      </c>
      <c r="F187" s="127"/>
      <c r="G187" s="132">
        <f t="shared" si="10"/>
        <v>300</v>
      </c>
      <c r="H187" s="132">
        <f t="shared" si="10"/>
        <v>300</v>
      </c>
      <c r="K187" s="132">
        <f>K188</f>
        <v>270.8</v>
      </c>
      <c r="L187" s="604">
        <f t="shared" si="11"/>
        <v>90.26666666666668</v>
      </c>
      <c r="M187" s="605">
        <f t="shared" si="8"/>
        <v>90.26666666666668</v>
      </c>
    </row>
    <row r="188" spans="1:13" ht="36">
      <c r="A188" s="134" t="s">
        <v>646</v>
      </c>
      <c r="B188" s="184" t="s">
        <v>1213</v>
      </c>
      <c r="C188" s="124" t="s">
        <v>1625</v>
      </c>
      <c r="D188" s="124" t="s">
        <v>1623</v>
      </c>
      <c r="E188" s="127" t="s">
        <v>618</v>
      </c>
      <c r="F188" s="127"/>
      <c r="G188" s="132">
        <f t="shared" si="10"/>
        <v>300</v>
      </c>
      <c r="H188" s="132">
        <f t="shared" si="10"/>
        <v>300</v>
      </c>
      <c r="K188" s="132">
        <f>K189</f>
        <v>270.8</v>
      </c>
      <c r="L188" s="604">
        <f t="shared" si="11"/>
        <v>90.26666666666668</v>
      </c>
      <c r="M188" s="605">
        <f t="shared" si="8"/>
        <v>90.26666666666668</v>
      </c>
    </row>
    <row r="189" spans="1:13" ht="24">
      <c r="A189" s="130" t="s">
        <v>1312</v>
      </c>
      <c r="B189" s="184" t="s">
        <v>1213</v>
      </c>
      <c r="C189" s="124" t="s">
        <v>1625</v>
      </c>
      <c r="D189" s="124" t="s">
        <v>1623</v>
      </c>
      <c r="E189" s="127" t="s">
        <v>647</v>
      </c>
      <c r="F189" s="127" t="s">
        <v>1704</v>
      </c>
      <c r="G189" s="132">
        <f t="shared" si="10"/>
        <v>300</v>
      </c>
      <c r="H189" s="132">
        <f t="shared" si="10"/>
        <v>300</v>
      </c>
      <c r="K189" s="132">
        <f>K190</f>
        <v>270.8</v>
      </c>
      <c r="L189" s="604">
        <f t="shared" si="11"/>
        <v>90.26666666666668</v>
      </c>
      <c r="M189" s="605">
        <f t="shared" si="8"/>
        <v>90.26666666666668</v>
      </c>
    </row>
    <row r="190" spans="1:13" ht="24">
      <c r="A190" s="129" t="s">
        <v>385</v>
      </c>
      <c r="B190" s="184" t="s">
        <v>1213</v>
      </c>
      <c r="C190" s="124" t="s">
        <v>1625</v>
      </c>
      <c r="D190" s="124" t="s">
        <v>1623</v>
      </c>
      <c r="E190" s="127" t="s">
        <v>647</v>
      </c>
      <c r="F190" s="127" t="s">
        <v>1619</v>
      </c>
      <c r="G190" s="135">
        <v>300</v>
      </c>
      <c r="H190" s="135">
        <v>300</v>
      </c>
      <c r="K190" s="135">
        <v>270.8</v>
      </c>
      <c r="L190" s="604">
        <f t="shared" si="11"/>
        <v>90.26666666666668</v>
      </c>
      <c r="M190" s="605">
        <f t="shared" si="8"/>
        <v>90.26666666666668</v>
      </c>
    </row>
    <row r="191" spans="1:13" ht="15">
      <c r="A191" s="133" t="s">
        <v>1281</v>
      </c>
      <c r="B191" s="184" t="s">
        <v>1213</v>
      </c>
      <c r="C191" s="124" t="s">
        <v>1625</v>
      </c>
      <c r="D191" s="124" t="s">
        <v>1625</v>
      </c>
      <c r="E191" s="124"/>
      <c r="F191" s="124"/>
      <c r="G191" s="132">
        <f>G192</f>
        <v>18500</v>
      </c>
      <c r="H191" s="132">
        <f>H192</f>
        <v>24277.2</v>
      </c>
      <c r="K191" s="132">
        <f>K192</f>
        <v>24277.2</v>
      </c>
      <c r="L191" s="604">
        <f t="shared" si="11"/>
        <v>131.22810810810813</v>
      </c>
      <c r="M191" s="605">
        <f t="shared" si="8"/>
        <v>100</v>
      </c>
    </row>
    <row r="192" spans="1:13" ht="28.5" customHeight="1">
      <c r="A192" s="141" t="s">
        <v>802</v>
      </c>
      <c r="B192" s="184" t="s">
        <v>1213</v>
      </c>
      <c r="C192" s="124" t="s">
        <v>1625</v>
      </c>
      <c r="D192" s="124" t="s">
        <v>1625</v>
      </c>
      <c r="E192" s="124" t="s">
        <v>1717</v>
      </c>
      <c r="F192" s="124"/>
      <c r="G192" s="132">
        <f>G193</f>
        <v>18500</v>
      </c>
      <c r="H192" s="132">
        <f>H193</f>
        <v>24277.2</v>
      </c>
      <c r="K192" s="132">
        <f>K193</f>
        <v>24277.2</v>
      </c>
      <c r="L192" s="604">
        <f t="shared" si="11"/>
        <v>131.22810810810813</v>
      </c>
      <c r="M192" s="605">
        <f t="shared" si="8"/>
        <v>100</v>
      </c>
    </row>
    <row r="193" spans="1:13" ht="36">
      <c r="A193" s="129" t="s">
        <v>540</v>
      </c>
      <c r="B193" s="184" t="s">
        <v>1213</v>
      </c>
      <c r="C193" s="124" t="s">
        <v>1625</v>
      </c>
      <c r="D193" s="124" t="s">
        <v>1625</v>
      </c>
      <c r="E193" s="124" t="s">
        <v>1448</v>
      </c>
      <c r="F193" s="124"/>
      <c r="G193" s="132">
        <f>G194+G202</f>
        <v>18500</v>
      </c>
      <c r="H193" s="132">
        <f>H194+H202</f>
        <v>24277.2</v>
      </c>
      <c r="K193" s="132">
        <f>K194+K202</f>
        <v>24277.2</v>
      </c>
      <c r="L193" s="604">
        <f t="shared" si="11"/>
        <v>131.22810810810813</v>
      </c>
      <c r="M193" s="605">
        <f t="shared" si="8"/>
        <v>100</v>
      </c>
    </row>
    <row r="194" spans="1:13" ht="24">
      <c r="A194" s="129" t="s">
        <v>395</v>
      </c>
      <c r="B194" s="184" t="s">
        <v>1213</v>
      </c>
      <c r="C194" s="124" t="s">
        <v>1625</v>
      </c>
      <c r="D194" s="124" t="s">
        <v>1625</v>
      </c>
      <c r="E194" s="124" t="s">
        <v>396</v>
      </c>
      <c r="F194" s="124"/>
      <c r="G194" s="132">
        <f>G195+G197</f>
        <v>0</v>
      </c>
      <c r="H194" s="132">
        <f>H195+H197</f>
        <v>7825</v>
      </c>
      <c r="K194" s="132">
        <f>K195+K197</f>
        <v>7825</v>
      </c>
      <c r="L194" s="604">
        <v>0</v>
      </c>
      <c r="M194" s="605">
        <f t="shared" si="8"/>
        <v>100</v>
      </c>
    </row>
    <row r="195" spans="1:13" ht="24">
      <c r="A195" s="130" t="s">
        <v>1705</v>
      </c>
      <c r="B195" s="184" t="s">
        <v>1213</v>
      </c>
      <c r="C195" s="124" t="s">
        <v>1625</v>
      </c>
      <c r="D195" s="124" t="s">
        <v>1625</v>
      </c>
      <c r="E195" s="124" t="s">
        <v>396</v>
      </c>
      <c r="F195" s="124" t="s">
        <v>1706</v>
      </c>
      <c r="G195" s="132">
        <f>G196</f>
        <v>0</v>
      </c>
      <c r="H195" s="132">
        <f>H196</f>
        <v>2247.5</v>
      </c>
      <c r="K195" s="132">
        <f>K196</f>
        <v>2247.5</v>
      </c>
      <c r="L195" s="604">
        <v>0</v>
      </c>
      <c r="M195" s="605">
        <f t="shared" si="8"/>
        <v>100</v>
      </c>
    </row>
    <row r="196" spans="1:13" ht="24">
      <c r="A196" s="129" t="s">
        <v>977</v>
      </c>
      <c r="B196" s="184" t="s">
        <v>1213</v>
      </c>
      <c r="C196" s="124" t="s">
        <v>1625</v>
      </c>
      <c r="D196" s="124" t="s">
        <v>1625</v>
      </c>
      <c r="E196" s="124" t="s">
        <v>396</v>
      </c>
      <c r="F196" s="124" t="s">
        <v>846</v>
      </c>
      <c r="G196" s="135">
        <v>0</v>
      </c>
      <c r="H196" s="135">
        <f>2317.1-69.6</f>
        <v>2247.5</v>
      </c>
      <c r="K196" s="135">
        <f>2317.1-69.6</f>
        <v>2247.5</v>
      </c>
      <c r="L196" s="604">
        <v>0</v>
      </c>
      <c r="M196" s="605">
        <f t="shared" si="8"/>
        <v>100</v>
      </c>
    </row>
    <row r="197" spans="1:13" ht="24">
      <c r="A197" s="129" t="s">
        <v>752</v>
      </c>
      <c r="B197" s="184" t="s">
        <v>1213</v>
      </c>
      <c r="C197" s="124" t="s">
        <v>1625</v>
      </c>
      <c r="D197" s="124" t="s">
        <v>1625</v>
      </c>
      <c r="E197" s="124" t="s">
        <v>396</v>
      </c>
      <c r="F197" s="124" t="s">
        <v>751</v>
      </c>
      <c r="G197" s="132">
        <f>G198+G200</f>
        <v>0</v>
      </c>
      <c r="H197" s="132">
        <f>H198+H200</f>
        <v>5577.5</v>
      </c>
      <c r="K197" s="132">
        <f>K198+K200</f>
        <v>5577.5</v>
      </c>
      <c r="L197" s="604">
        <v>0</v>
      </c>
      <c r="M197" s="605">
        <f t="shared" si="8"/>
        <v>100</v>
      </c>
    </row>
    <row r="198" spans="1:13" ht="24">
      <c r="A198" s="134" t="s">
        <v>18</v>
      </c>
      <c r="B198" s="184" t="s">
        <v>1213</v>
      </c>
      <c r="C198" s="124" t="s">
        <v>1625</v>
      </c>
      <c r="D198" s="124" t="s">
        <v>1625</v>
      </c>
      <c r="E198" s="124" t="s">
        <v>396</v>
      </c>
      <c r="F198" s="124" t="s">
        <v>1436</v>
      </c>
      <c r="G198" s="132">
        <f>G199</f>
        <v>0</v>
      </c>
      <c r="H198" s="132">
        <f>H199</f>
        <v>1231.6</v>
      </c>
      <c r="K198" s="132">
        <f>K199</f>
        <v>1231.6</v>
      </c>
      <c r="L198" s="604">
        <v>0</v>
      </c>
      <c r="M198" s="605">
        <f t="shared" si="8"/>
        <v>100</v>
      </c>
    </row>
    <row r="199" spans="1:13" ht="24">
      <c r="A199" s="134" t="s">
        <v>1398</v>
      </c>
      <c r="B199" s="184" t="s">
        <v>1213</v>
      </c>
      <c r="C199" s="124" t="s">
        <v>1625</v>
      </c>
      <c r="D199" s="124" t="s">
        <v>1625</v>
      </c>
      <c r="E199" s="124" t="s">
        <v>396</v>
      </c>
      <c r="F199" s="124" t="s">
        <v>1436</v>
      </c>
      <c r="G199" s="135">
        <v>0</v>
      </c>
      <c r="H199" s="135">
        <f>300+1083-151.4</f>
        <v>1231.6</v>
      </c>
      <c r="K199" s="135">
        <f>300+1083-151.4</f>
        <v>1231.6</v>
      </c>
      <c r="L199" s="604">
        <v>0</v>
      </c>
      <c r="M199" s="605">
        <f t="shared" si="8"/>
        <v>100</v>
      </c>
    </row>
    <row r="200" spans="1:13" ht="24">
      <c r="A200" s="134" t="s">
        <v>1687</v>
      </c>
      <c r="B200" s="184" t="s">
        <v>1213</v>
      </c>
      <c r="C200" s="124" t="s">
        <v>1625</v>
      </c>
      <c r="D200" s="124" t="s">
        <v>1625</v>
      </c>
      <c r="E200" s="124" t="s">
        <v>396</v>
      </c>
      <c r="F200" s="124" t="s">
        <v>1502</v>
      </c>
      <c r="G200" s="132">
        <f>G201</f>
        <v>0</v>
      </c>
      <c r="H200" s="132">
        <f>H201</f>
        <v>4345.9</v>
      </c>
      <c r="K200" s="132">
        <f>K201</f>
        <v>4345.9</v>
      </c>
      <c r="L200" s="604">
        <v>0</v>
      </c>
      <c r="M200" s="605">
        <f t="shared" si="8"/>
        <v>100</v>
      </c>
    </row>
    <row r="201" spans="1:13" ht="24">
      <c r="A201" s="134" t="s">
        <v>1398</v>
      </c>
      <c r="B201" s="184" t="s">
        <v>1213</v>
      </c>
      <c r="C201" s="124" t="s">
        <v>1625</v>
      </c>
      <c r="D201" s="124" t="s">
        <v>1625</v>
      </c>
      <c r="E201" s="124" t="s">
        <v>396</v>
      </c>
      <c r="F201" s="124" t="s">
        <v>1502</v>
      </c>
      <c r="G201" s="135">
        <v>0</v>
      </c>
      <c r="H201" s="135">
        <f>5207.9-1013.4+151.4</f>
        <v>4345.9</v>
      </c>
      <c r="K201" s="135">
        <f>5207.9-1013.4+151.4</f>
        <v>4345.9</v>
      </c>
      <c r="L201" s="604">
        <v>0</v>
      </c>
      <c r="M201" s="605">
        <f t="shared" si="8"/>
        <v>100</v>
      </c>
    </row>
    <row r="202" spans="1:13" ht="24">
      <c r="A202" s="129" t="s">
        <v>397</v>
      </c>
      <c r="B202" s="184" t="s">
        <v>1213</v>
      </c>
      <c r="C202" s="124" t="s">
        <v>1625</v>
      </c>
      <c r="D202" s="124" t="s">
        <v>1625</v>
      </c>
      <c r="E202" s="124" t="s">
        <v>648</v>
      </c>
      <c r="F202" s="124"/>
      <c r="G202" s="132">
        <f>G203+G205</f>
        <v>18500</v>
      </c>
      <c r="H202" s="132">
        <f>H203+H205</f>
        <v>16452.2</v>
      </c>
      <c r="K202" s="132">
        <f>K203+K205</f>
        <v>16452.2</v>
      </c>
      <c r="L202" s="604">
        <f>K202/G202*100</f>
        <v>88.93081081081081</v>
      </c>
      <c r="M202" s="605">
        <f t="shared" si="8"/>
        <v>100</v>
      </c>
    </row>
    <row r="203" spans="1:13" ht="24">
      <c r="A203" s="130" t="s">
        <v>1705</v>
      </c>
      <c r="B203" s="184" t="s">
        <v>1213</v>
      </c>
      <c r="C203" s="124" t="s">
        <v>1625</v>
      </c>
      <c r="D203" s="124" t="s">
        <v>1625</v>
      </c>
      <c r="E203" s="124" t="s">
        <v>648</v>
      </c>
      <c r="F203" s="124" t="s">
        <v>1706</v>
      </c>
      <c r="G203" s="132">
        <f>G204</f>
        <v>0</v>
      </c>
      <c r="H203" s="132">
        <f>H204</f>
        <v>1201.6</v>
      </c>
      <c r="K203" s="132">
        <f>K204</f>
        <v>1201.6</v>
      </c>
      <c r="L203" s="604">
        <v>0</v>
      </c>
      <c r="M203" s="605">
        <f t="shared" si="8"/>
        <v>100</v>
      </c>
    </row>
    <row r="204" spans="1:13" ht="24">
      <c r="A204" s="129" t="s">
        <v>977</v>
      </c>
      <c r="B204" s="184" t="s">
        <v>1213</v>
      </c>
      <c r="C204" s="124" t="s">
        <v>1625</v>
      </c>
      <c r="D204" s="124" t="s">
        <v>1625</v>
      </c>
      <c r="E204" s="124" t="s">
        <v>648</v>
      </c>
      <c r="F204" s="124" t="s">
        <v>846</v>
      </c>
      <c r="G204" s="135">
        <v>0</v>
      </c>
      <c r="H204" s="135">
        <f>2000-750-48.4</f>
        <v>1201.6</v>
      </c>
      <c r="K204" s="135">
        <f>2000-750-48.4</f>
        <v>1201.6</v>
      </c>
      <c r="L204" s="604">
        <v>0</v>
      </c>
      <c r="M204" s="605">
        <f t="shared" si="8"/>
        <v>100</v>
      </c>
    </row>
    <row r="205" spans="1:13" ht="24">
      <c r="A205" s="129" t="s">
        <v>752</v>
      </c>
      <c r="B205" s="184" t="s">
        <v>1213</v>
      </c>
      <c r="C205" s="124" t="s">
        <v>1625</v>
      </c>
      <c r="D205" s="124" t="s">
        <v>1625</v>
      </c>
      <c r="E205" s="124" t="s">
        <v>648</v>
      </c>
      <c r="F205" s="124" t="s">
        <v>751</v>
      </c>
      <c r="G205" s="132">
        <f>G206+G208</f>
        <v>18500</v>
      </c>
      <c r="H205" s="132">
        <f>H206+H208</f>
        <v>15250.6</v>
      </c>
      <c r="K205" s="132">
        <f>K206+K208</f>
        <v>15250.6</v>
      </c>
      <c r="L205" s="604">
        <f aca="true" t="shared" si="12" ref="L205:L266">K205/G205*100</f>
        <v>82.43567567567568</v>
      </c>
      <c r="M205" s="605">
        <f aca="true" t="shared" si="13" ref="M205:M268">K205/H205*100</f>
        <v>100</v>
      </c>
    </row>
    <row r="206" spans="1:13" ht="24">
      <c r="A206" s="134" t="s">
        <v>18</v>
      </c>
      <c r="B206" s="184" t="s">
        <v>1213</v>
      </c>
      <c r="C206" s="124" t="s">
        <v>1625</v>
      </c>
      <c r="D206" s="124" t="s">
        <v>1625</v>
      </c>
      <c r="E206" s="124" t="s">
        <v>648</v>
      </c>
      <c r="F206" s="124" t="s">
        <v>1436</v>
      </c>
      <c r="G206" s="135">
        <f>G207</f>
        <v>18500</v>
      </c>
      <c r="H206" s="135">
        <f>H207</f>
        <v>5741.5</v>
      </c>
      <c r="K206" s="135">
        <f>K207</f>
        <v>5741.5</v>
      </c>
      <c r="L206" s="604">
        <f t="shared" si="12"/>
        <v>31.035135135135132</v>
      </c>
      <c r="M206" s="605">
        <f t="shared" si="13"/>
        <v>100</v>
      </c>
    </row>
    <row r="207" spans="1:13" ht="24">
      <c r="A207" s="134" t="s">
        <v>1398</v>
      </c>
      <c r="B207" s="184" t="s">
        <v>1213</v>
      </c>
      <c r="C207" s="124" t="s">
        <v>1625</v>
      </c>
      <c r="D207" s="124" t="s">
        <v>1625</v>
      </c>
      <c r="E207" s="124" t="s">
        <v>648</v>
      </c>
      <c r="F207" s="124" t="s">
        <v>1436</v>
      </c>
      <c r="G207" s="135">
        <f>18500</f>
        <v>18500</v>
      </c>
      <c r="H207" s="135">
        <f>18500-11650-721.4-387.1</f>
        <v>5741.5</v>
      </c>
      <c r="K207" s="135">
        <f>18500-11650-721.4-387.1</f>
        <v>5741.5</v>
      </c>
      <c r="L207" s="604">
        <f t="shared" si="12"/>
        <v>31.035135135135132</v>
      </c>
      <c r="M207" s="605">
        <f t="shared" si="13"/>
        <v>100</v>
      </c>
    </row>
    <row r="208" spans="1:13" ht="24">
      <c r="A208" s="134" t="s">
        <v>1687</v>
      </c>
      <c r="B208" s="184" t="s">
        <v>1213</v>
      </c>
      <c r="C208" s="124" t="s">
        <v>1625</v>
      </c>
      <c r="D208" s="124" t="s">
        <v>1625</v>
      </c>
      <c r="E208" s="124" t="s">
        <v>648</v>
      </c>
      <c r="F208" s="124" t="s">
        <v>1502</v>
      </c>
      <c r="G208" s="135">
        <f>G209</f>
        <v>0</v>
      </c>
      <c r="H208" s="135">
        <f>H209</f>
        <v>9509.1</v>
      </c>
      <c r="K208" s="135">
        <f>K209</f>
        <v>9509.1</v>
      </c>
      <c r="L208" s="604">
        <v>0</v>
      </c>
      <c r="M208" s="605">
        <f t="shared" si="13"/>
        <v>100</v>
      </c>
    </row>
    <row r="209" spans="1:13" ht="24">
      <c r="A209" s="134" t="s">
        <v>1398</v>
      </c>
      <c r="B209" s="184" t="s">
        <v>1213</v>
      </c>
      <c r="C209" s="124" t="s">
        <v>1625</v>
      </c>
      <c r="D209" s="124" t="s">
        <v>1625</v>
      </c>
      <c r="E209" s="124" t="s">
        <v>648</v>
      </c>
      <c r="F209" s="124" t="s">
        <v>1502</v>
      </c>
      <c r="G209" s="135">
        <v>0</v>
      </c>
      <c r="H209" s="135">
        <f>7713.6+610+1137.1+48.4</f>
        <v>9509.1</v>
      </c>
      <c r="K209" s="135">
        <f>7713.6+610+1137.1+48.4</f>
        <v>9509.1</v>
      </c>
      <c r="L209" s="604">
        <v>0</v>
      </c>
      <c r="M209" s="605">
        <f t="shared" si="13"/>
        <v>100</v>
      </c>
    </row>
    <row r="210" spans="1:13" ht="15">
      <c r="A210" s="169" t="s">
        <v>823</v>
      </c>
      <c r="B210" s="184" t="s">
        <v>1213</v>
      </c>
      <c r="C210" s="124" t="s">
        <v>1625</v>
      </c>
      <c r="D210" s="124" t="s">
        <v>1626</v>
      </c>
      <c r="E210" s="124"/>
      <c r="F210" s="124"/>
      <c r="G210" s="132">
        <f>G211</f>
        <v>116444</v>
      </c>
      <c r="H210" s="132">
        <f>H211</f>
        <v>123157.9</v>
      </c>
      <c r="K210" s="132">
        <f>K211</f>
        <v>118057.2</v>
      </c>
      <c r="L210" s="604">
        <f t="shared" si="12"/>
        <v>101.38538696712583</v>
      </c>
      <c r="M210" s="605">
        <f t="shared" si="13"/>
        <v>95.85840615989717</v>
      </c>
    </row>
    <row r="211" spans="1:13" ht="33" customHeight="1">
      <c r="A211" s="141" t="s">
        <v>802</v>
      </c>
      <c r="B211" s="184" t="s">
        <v>1213</v>
      </c>
      <c r="C211" s="124" t="s">
        <v>1625</v>
      </c>
      <c r="D211" s="124" t="s">
        <v>1626</v>
      </c>
      <c r="E211" s="124" t="s">
        <v>1717</v>
      </c>
      <c r="F211" s="124"/>
      <c r="G211" s="132">
        <f>G216+G212</f>
        <v>116444</v>
      </c>
      <c r="H211" s="132">
        <f>H216+H212</f>
        <v>123157.9</v>
      </c>
      <c r="K211" s="132">
        <f>K216+K212</f>
        <v>118057.2</v>
      </c>
      <c r="L211" s="604">
        <f t="shared" si="12"/>
        <v>101.38538696712583</v>
      </c>
      <c r="M211" s="605">
        <f t="shared" si="13"/>
        <v>95.85840615989717</v>
      </c>
    </row>
    <row r="212" spans="1:13" ht="24">
      <c r="A212" s="134" t="s">
        <v>1443</v>
      </c>
      <c r="B212" s="184" t="s">
        <v>1213</v>
      </c>
      <c r="C212" s="127" t="s">
        <v>1625</v>
      </c>
      <c r="D212" s="127" t="s">
        <v>1626</v>
      </c>
      <c r="E212" s="127" t="s">
        <v>549</v>
      </c>
      <c r="F212" s="127"/>
      <c r="G212" s="132">
        <f aca="true" t="shared" si="14" ref="G212:H214">G213</f>
        <v>2248</v>
      </c>
      <c r="H212" s="132">
        <f t="shared" si="14"/>
        <v>2248</v>
      </c>
      <c r="K212" s="132">
        <f>K213</f>
        <v>1582</v>
      </c>
      <c r="L212" s="604">
        <f t="shared" si="12"/>
        <v>70.37366548042705</v>
      </c>
      <c r="M212" s="605">
        <f t="shared" si="13"/>
        <v>70.37366548042705</v>
      </c>
    </row>
    <row r="213" spans="1:13" ht="48">
      <c r="A213" s="170" t="s">
        <v>628</v>
      </c>
      <c r="B213" s="184" t="s">
        <v>1213</v>
      </c>
      <c r="C213" s="127" t="s">
        <v>1625</v>
      </c>
      <c r="D213" s="127" t="s">
        <v>1626</v>
      </c>
      <c r="E213" s="127" t="s">
        <v>650</v>
      </c>
      <c r="F213" s="127"/>
      <c r="G213" s="132">
        <f t="shared" si="14"/>
        <v>2248</v>
      </c>
      <c r="H213" s="132">
        <f t="shared" si="14"/>
        <v>2248</v>
      </c>
      <c r="K213" s="132">
        <f>K214</f>
        <v>1582</v>
      </c>
      <c r="L213" s="604">
        <f t="shared" si="12"/>
        <v>70.37366548042705</v>
      </c>
      <c r="M213" s="605">
        <f t="shared" si="13"/>
        <v>70.37366548042705</v>
      </c>
    </row>
    <row r="214" spans="1:13" ht="24">
      <c r="A214" s="129" t="s">
        <v>752</v>
      </c>
      <c r="B214" s="184" t="s">
        <v>1213</v>
      </c>
      <c r="C214" s="127" t="s">
        <v>1625</v>
      </c>
      <c r="D214" s="127" t="s">
        <v>1626</v>
      </c>
      <c r="E214" s="127" t="s">
        <v>650</v>
      </c>
      <c r="F214" s="127" t="s">
        <v>751</v>
      </c>
      <c r="G214" s="132">
        <f t="shared" si="14"/>
        <v>2248</v>
      </c>
      <c r="H214" s="132">
        <f t="shared" si="14"/>
        <v>2248</v>
      </c>
      <c r="K214" s="132">
        <f>K215</f>
        <v>1582</v>
      </c>
      <c r="L214" s="604">
        <f t="shared" si="12"/>
        <v>70.37366548042705</v>
      </c>
      <c r="M214" s="605">
        <f t="shared" si="13"/>
        <v>70.37366548042705</v>
      </c>
    </row>
    <row r="215" spans="1:13" ht="24">
      <c r="A215" s="134" t="s">
        <v>1392</v>
      </c>
      <c r="B215" s="184" t="s">
        <v>1213</v>
      </c>
      <c r="C215" s="127" t="s">
        <v>1625</v>
      </c>
      <c r="D215" s="127" t="s">
        <v>1626</v>
      </c>
      <c r="E215" s="127" t="s">
        <v>650</v>
      </c>
      <c r="F215" s="127" t="s">
        <v>1436</v>
      </c>
      <c r="G215" s="135">
        <v>2248</v>
      </c>
      <c r="H215" s="135">
        <v>2248</v>
      </c>
      <c r="K215" s="135">
        <v>1582</v>
      </c>
      <c r="L215" s="604">
        <f t="shared" si="12"/>
        <v>70.37366548042705</v>
      </c>
      <c r="M215" s="605">
        <f t="shared" si="13"/>
        <v>70.37366548042705</v>
      </c>
    </row>
    <row r="216" spans="1:13" ht="36">
      <c r="A216" s="134" t="s">
        <v>646</v>
      </c>
      <c r="B216" s="184" t="s">
        <v>1213</v>
      </c>
      <c r="C216" s="124" t="s">
        <v>1625</v>
      </c>
      <c r="D216" s="124" t="s">
        <v>1626</v>
      </c>
      <c r="E216" s="124" t="s">
        <v>618</v>
      </c>
      <c r="F216" s="124"/>
      <c r="G216" s="132">
        <f>G217+G225</f>
        <v>114196</v>
      </c>
      <c r="H216" s="132">
        <f>H217+H225</f>
        <v>120909.9</v>
      </c>
      <c r="K216" s="132">
        <f>K217+K225</f>
        <v>116475.2</v>
      </c>
      <c r="L216" s="604">
        <f t="shared" si="12"/>
        <v>101.995866755403</v>
      </c>
      <c r="M216" s="605">
        <f t="shared" si="13"/>
        <v>96.33222755125924</v>
      </c>
    </row>
    <row r="217" spans="1:13" ht="36">
      <c r="A217" s="129" t="s">
        <v>1616</v>
      </c>
      <c r="B217" s="184" t="s">
        <v>1213</v>
      </c>
      <c r="C217" s="124" t="s">
        <v>1625</v>
      </c>
      <c r="D217" s="124" t="s">
        <v>1626</v>
      </c>
      <c r="E217" s="124" t="s">
        <v>649</v>
      </c>
      <c r="F217" s="124"/>
      <c r="G217" s="132">
        <f>G218</f>
        <v>30234</v>
      </c>
      <c r="H217" s="132">
        <f>H218</f>
        <v>30234</v>
      </c>
      <c r="K217" s="132">
        <f>K218</f>
        <v>28313.5</v>
      </c>
      <c r="L217" s="604">
        <f t="shared" si="12"/>
        <v>93.64787987034464</v>
      </c>
      <c r="M217" s="605">
        <f t="shared" si="13"/>
        <v>93.64787987034464</v>
      </c>
    </row>
    <row r="218" spans="1:13" ht="15">
      <c r="A218" s="134" t="s">
        <v>113</v>
      </c>
      <c r="B218" s="184" t="s">
        <v>1213</v>
      </c>
      <c r="C218" s="124" t="s">
        <v>1625</v>
      </c>
      <c r="D218" s="124" t="s">
        <v>1626</v>
      </c>
      <c r="E218" s="124" t="s">
        <v>649</v>
      </c>
      <c r="F218" s="124"/>
      <c r="G218" s="132">
        <f>G219+G221+G223</f>
        <v>30234</v>
      </c>
      <c r="H218" s="132">
        <f>H219+H221+H223</f>
        <v>30234</v>
      </c>
      <c r="K218" s="132">
        <f>K219+K221+K223</f>
        <v>28313.5</v>
      </c>
      <c r="L218" s="604">
        <f t="shared" si="12"/>
        <v>93.64787987034464</v>
      </c>
      <c r="M218" s="605">
        <f t="shared" si="13"/>
        <v>93.64787987034464</v>
      </c>
    </row>
    <row r="219" spans="1:13" ht="48">
      <c r="A219" s="130" t="s">
        <v>1311</v>
      </c>
      <c r="B219" s="184" t="s">
        <v>1213</v>
      </c>
      <c r="C219" s="124" t="s">
        <v>1625</v>
      </c>
      <c r="D219" s="124" t="s">
        <v>1626</v>
      </c>
      <c r="E219" s="124" t="s">
        <v>649</v>
      </c>
      <c r="F219" s="124" t="s">
        <v>1462</v>
      </c>
      <c r="G219" s="132">
        <f>G220</f>
        <v>27031</v>
      </c>
      <c r="H219" s="132">
        <f>H220</f>
        <v>26897</v>
      </c>
      <c r="K219" s="132">
        <f>K220</f>
        <v>25255.2</v>
      </c>
      <c r="L219" s="604">
        <f t="shared" si="12"/>
        <v>93.4305057156598</v>
      </c>
      <c r="M219" s="605">
        <f t="shared" si="13"/>
        <v>93.89597352864631</v>
      </c>
    </row>
    <row r="220" spans="1:13" ht="21" customHeight="1">
      <c r="A220" s="130" t="s">
        <v>1039</v>
      </c>
      <c r="B220" s="184" t="s">
        <v>1213</v>
      </c>
      <c r="C220" s="124" t="s">
        <v>1625</v>
      </c>
      <c r="D220" s="124" t="s">
        <v>1626</v>
      </c>
      <c r="E220" s="124" t="s">
        <v>649</v>
      </c>
      <c r="F220" s="124" t="s">
        <v>1432</v>
      </c>
      <c r="G220" s="135">
        <f>27031</f>
        <v>27031</v>
      </c>
      <c r="H220" s="135">
        <f>27031-100-34</f>
        <v>26897</v>
      </c>
      <c r="K220" s="135">
        <v>25255.2</v>
      </c>
      <c r="L220" s="604">
        <f t="shared" si="12"/>
        <v>93.4305057156598</v>
      </c>
      <c r="M220" s="605">
        <f t="shared" si="13"/>
        <v>93.89597352864631</v>
      </c>
    </row>
    <row r="221" spans="1:13" ht="24">
      <c r="A221" s="130" t="s">
        <v>1312</v>
      </c>
      <c r="B221" s="184" t="s">
        <v>1213</v>
      </c>
      <c r="C221" s="124" t="s">
        <v>1625</v>
      </c>
      <c r="D221" s="124" t="s">
        <v>1626</v>
      </c>
      <c r="E221" s="124" t="s">
        <v>649</v>
      </c>
      <c r="F221" s="124" t="s">
        <v>1704</v>
      </c>
      <c r="G221" s="132">
        <f>G222</f>
        <v>3146</v>
      </c>
      <c r="H221" s="132">
        <f>H222</f>
        <v>3279.2</v>
      </c>
      <c r="K221" s="132">
        <f>K222</f>
        <v>3001.2</v>
      </c>
      <c r="L221" s="604">
        <f t="shared" si="12"/>
        <v>95.39732994278448</v>
      </c>
      <c r="M221" s="605">
        <f t="shared" si="13"/>
        <v>91.52232251768724</v>
      </c>
    </row>
    <row r="222" spans="1:13" ht="24">
      <c r="A222" s="130" t="s">
        <v>1406</v>
      </c>
      <c r="B222" s="184" t="s">
        <v>1213</v>
      </c>
      <c r="C222" s="124" t="s">
        <v>1625</v>
      </c>
      <c r="D222" s="124" t="s">
        <v>1626</v>
      </c>
      <c r="E222" s="124" t="s">
        <v>649</v>
      </c>
      <c r="F222" s="124" t="s">
        <v>1619</v>
      </c>
      <c r="G222" s="135">
        <f>3146</f>
        <v>3146</v>
      </c>
      <c r="H222" s="135">
        <f>3146+100-0.8+34</f>
        <v>3279.2</v>
      </c>
      <c r="K222" s="135">
        <v>3001.2</v>
      </c>
      <c r="L222" s="604">
        <f t="shared" si="12"/>
        <v>95.39732994278448</v>
      </c>
      <c r="M222" s="605">
        <f t="shared" si="13"/>
        <v>91.52232251768724</v>
      </c>
    </row>
    <row r="223" spans="1:13" ht="24">
      <c r="A223" s="130" t="s">
        <v>910</v>
      </c>
      <c r="B223" s="184" t="s">
        <v>1213</v>
      </c>
      <c r="C223" s="124" t="s">
        <v>1625</v>
      </c>
      <c r="D223" s="124" t="s">
        <v>1626</v>
      </c>
      <c r="E223" s="124" t="s">
        <v>649</v>
      </c>
      <c r="F223" s="124" t="s">
        <v>911</v>
      </c>
      <c r="G223" s="132">
        <f>G224</f>
        <v>57</v>
      </c>
      <c r="H223" s="132">
        <f>H224</f>
        <v>57.8</v>
      </c>
      <c r="K223" s="132">
        <f>K224</f>
        <v>57.1</v>
      </c>
      <c r="L223" s="604">
        <f t="shared" si="12"/>
        <v>100.17543859649123</v>
      </c>
      <c r="M223" s="605">
        <f t="shared" si="13"/>
        <v>98.78892733564014</v>
      </c>
    </row>
    <row r="224" spans="1:13" ht="24">
      <c r="A224" s="130" t="s">
        <v>589</v>
      </c>
      <c r="B224" s="184" t="s">
        <v>1213</v>
      </c>
      <c r="C224" s="124" t="s">
        <v>1625</v>
      </c>
      <c r="D224" s="124" t="s">
        <v>1626</v>
      </c>
      <c r="E224" s="124" t="s">
        <v>649</v>
      </c>
      <c r="F224" s="124" t="s">
        <v>590</v>
      </c>
      <c r="G224" s="135">
        <f>57</f>
        <v>57</v>
      </c>
      <c r="H224" s="135">
        <f>57+0.8</f>
        <v>57.8</v>
      </c>
      <c r="K224" s="135">
        <v>57.1</v>
      </c>
      <c r="L224" s="604">
        <f t="shared" si="12"/>
        <v>100.17543859649123</v>
      </c>
      <c r="M224" s="605">
        <f t="shared" si="13"/>
        <v>98.78892733564014</v>
      </c>
    </row>
    <row r="225" spans="1:13" ht="24">
      <c r="A225" s="129" t="s">
        <v>752</v>
      </c>
      <c r="B225" s="184" t="s">
        <v>1213</v>
      </c>
      <c r="C225" s="127" t="s">
        <v>1625</v>
      </c>
      <c r="D225" s="127" t="s">
        <v>1626</v>
      </c>
      <c r="E225" s="127" t="s">
        <v>651</v>
      </c>
      <c r="F225" s="127" t="s">
        <v>751</v>
      </c>
      <c r="G225" s="132">
        <f>G226+G229</f>
        <v>83962</v>
      </c>
      <c r="H225" s="132">
        <f>H226+H229</f>
        <v>90675.9</v>
      </c>
      <c r="K225" s="132">
        <f>K226+K229</f>
        <v>88161.7</v>
      </c>
      <c r="L225" s="604">
        <f t="shared" si="12"/>
        <v>105.00190562397273</v>
      </c>
      <c r="M225" s="605">
        <f t="shared" si="13"/>
        <v>97.22726766428566</v>
      </c>
    </row>
    <row r="226" spans="1:13" ht="24">
      <c r="A226" s="134" t="s">
        <v>18</v>
      </c>
      <c r="B226" s="184" t="s">
        <v>1213</v>
      </c>
      <c r="C226" s="127" t="s">
        <v>1625</v>
      </c>
      <c r="D226" s="127" t="s">
        <v>1626</v>
      </c>
      <c r="E226" s="127" t="s">
        <v>651</v>
      </c>
      <c r="F226" s="127" t="s">
        <v>1436</v>
      </c>
      <c r="G226" s="135">
        <f>70210</f>
        <v>70210</v>
      </c>
      <c r="H226" s="135">
        <f>70210+H228-5776-348-100+5000-88.1+140</f>
        <v>70614.9</v>
      </c>
      <c r="K226" s="135">
        <v>70083.2</v>
      </c>
      <c r="L226" s="604">
        <f t="shared" si="12"/>
        <v>99.81939894601908</v>
      </c>
      <c r="M226" s="605">
        <f t="shared" si="13"/>
        <v>99.24704276292964</v>
      </c>
    </row>
    <row r="227" spans="1:13" ht="24">
      <c r="A227" s="134" t="s">
        <v>885</v>
      </c>
      <c r="B227" s="184" t="s">
        <v>1213</v>
      </c>
      <c r="C227" s="127" t="s">
        <v>1625</v>
      </c>
      <c r="D227" s="127" t="s">
        <v>1626</v>
      </c>
      <c r="E227" s="127" t="s">
        <v>651</v>
      </c>
      <c r="F227" s="127" t="s">
        <v>1436</v>
      </c>
      <c r="G227" s="135">
        <f>4302</f>
        <v>4302</v>
      </c>
      <c r="H227" s="135">
        <f>4302-348-100-88.1</f>
        <v>3765.9</v>
      </c>
      <c r="K227" s="135">
        <v>3679.4</v>
      </c>
      <c r="L227" s="604">
        <f t="shared" si="12"/>
        <v>85.52766155276615</v>
      </c>
      <c r="M227" s="605">
        <f t="shared" si="13"/>
        <v>97.7030723067527</v>
      </c>
    </row>
    <row r="228" spans="1:13" ht="24">
      <c r="A228" s="134" t="s">
        <v>1400</v>
      </c>
      <c r="B228" s="184" t="s">
        <v>1213</v>
      </c>
      <c r="C228" s="127" t="s">
        <v>1625</v>
      </c>
      <c r="D228" s="127" t="s">
        <v>1626</v>
      </c>
      <c r="E228" s="127" t="s">
        <v>651</v>
      </c>
      <c r="F228" s="127" t="s">
        <v>1436</v>
      </c>
      <c r="G228" s="135">
        <v>0</v>
      </c>
      <c r="H228" s="135">
        <f>1600-23</f>
        <v>1577</v>
      </c>
      <c r="K228" s="135">
        <v>1279.3</v>
      </c>
      <c r="L228" s="604">
        <v>0</v>
      </c>
      <c r="M228" s="605">
        <f t="shared" si="13"/>
        <v>81.12238427393785</v>
      </c>
    </row>
    <row r="229" spans="1:13" ht="24">
      <c r="A229" s="134" t="s">
        <v>996</v>
      </c>
      <c r="B229" s="184" t="s">
        <v>1213</v>
      </c>
      <c r="C229" s="127" t="s">
        <v>1625</v>
      </c>
      <c r="D229" s="127" t="s">
        <v>1626</v>
      </c>
      <c r="E229" s="127" t="s">
        <v>651</v>
      </c>
      <c r="F229" s="127" t="s">
        <v>1502</v>
      </c>
      <c r="G229" s="135">
        <f>13752</f>
        <v>13752</v>
      </c>
      <c r="H229" s="135">
        <f>13752+1800+200-791+5500-900+500</f>
        <v>20061</v>
      </c>
      <c r="K229" s="135">
        <v>18078.5</v>
      </c>
      <c r="L229" s="604">
        <f t="shared" si="12"/>
        <v>131.4608784176847</v>
      </c>
      <c r="M229" s="605">
        <f t="shared" si="13"/>
        <v>90.11764119435722</v>
      </c>
    </row>
    <row r="230" spans="1:13" ht="15">
      <c r="A230" s="185" t="s">
        <v>1617</v>
      </c>
      <c r="B230" s="184" t="s">
        <v>1213</v>
      </c>
      <c r="C230" s="124" t="s">
        <v>1624</v>
      </c>
      <c r="D230" s="124"/>
      <c r="E230" s="124"/>
      <c r="F230" s="124"/>
      <c r="G230" s="132">
        <f>G231+G237</f>
        <v>55056</v>
      </c>
      <c r="H230" s="132">
        <f>H231+H237</f>
        <v>50678</v>
      </c>
      <c r="K230" s="132">
        <f>K231+K237</f>
        <v>35102.1</v>
      </c>
      <c r="L230" s="604">
        <f t="shared" si="12"/>
        <v>63.75708369659983</v>
      </c>
      <c r="M230" s="605">
        <f t="shared" si="13"/>
        <v>69.26496704684479</v>
      </c>
    </row>
    <row r="231" spans="1:13" ht="15">
      <c r="A231" s="133" t="s">
        <v>629</v>
      </c>
      <c r="B231" s="184" t="s">
        <v>1213</v>
      </c>
      <c r="C231" s="124" t="s">
        <v>1624</v>
      </c>
      <c r="D231" s="124" t="s">
        <v>1627</v>
      </c>
      <c r="E231" s="124"/>
      <c r="F231" s="124"/>
      <c r="G231" s="132">
        <f aca="true" t="shared" si="15" ref="G231:H235">G232</f>
        <v>3000</v>
      </c>
      <c r="H231" s="132">
        <f t="shared" si="15"/>
        <v>3355</v>
      </c>
      <c r="K231" s="132">
        <f>K232</f>
        <v>3355</v>
      </c>
      <c r="L231" s="604">
        <f t="shared" si="12"/>
        <v>111.83333333333334</v>
      </c>
      <c r="M231" s="605">
        <f t="shared" si="13"/>
        <v>100</v>
      </c>
    </row>
    <row r="232" spans="1:13" ht="27.75" customHeight="1">
      <c r="A232" s="141" t="s">
        <v>802</v>
      </c>
      <c r="B232" s="184" t="s">
        <v>1213</v>
      </c>
      <c r="C232" s="124" t="s">
        <v>1624</v>
      </c>
      <c r="D232" s="124" t="s">
        <v>1627</v>
      </c>
      <c r="E232" s="124" t="s">
        <v>1717</v>
      </c>
      <c r="F232" s="124"/>
      <c r="G232" s="132">
        <f t="shared" si="15"/>
        <v>3000</v>
      </c>
      <c r="H232" s="132">
        <f t="shared" si="15"/>
        <v>3355</v>
      </c>
      <c r="K232" s="132">
        <f>K233</f>
        <v>3355</v>
      </c>
      <c r="L232" s="604">
        <f t="shared" si="12"/>
        <v>111.83333333333334</v>
      </c>
      <c r="M232" s="605">
        <f t="shared" si="13"/>
        <v>100</v>
      </c>
    </row>
    <row r="233" spans="1:13" ht="24">
      <c r="A233" s="151" t="s">
        <v>652</v>
      </c>
      <c r="B233" s="184" t="s">
        <v>1213</v>
      </c>
      <c r="C233" s="124" t="s">
        <v>1624</v>
      </c>
      <c r="D233" s="124" t="s">
        <v>1627</v>
      </c>
      <c r="E233" s="124" t="s">
        <v>591</v>
      </c>
      <c r="F233" s="124"/>
      <c r="G233" s="132">
        <f t="shared" si="15"/>
        <v>3000</v>
      </c>
      <c r="H233" s="132">
        <f t="shared" si="15"/>
        <v>3355</v>
      </c>
      <c r="K233" s="132">
        <f>K234</f>
        <v>3355</v>
      </c>
      <c r="L233" s="604">
        <f t="shared" si="12"/>
        <v>111.83333333333334</v>
      </c>
      <c r="M233" s="605">
        <f t="shared" si="13"/>
        <v>100</v>
      </c>
    </row>
    <row r="234" spans="1:13" ht="48">
      <c r="A234" s="129" t="s">
        <v>29</v>
      </c>
      <c r="B234" s="184" t="s">
        <v>1213</v>
      </c>
      <c r="C234" s="124" t="s">
        <v>850</v>
      </c>
      <c r="D234" s="124" t="s">
        <v>1627</v>
      </c>
      <c r="E234" s="124" t="s">
        <v>653</v>
      </c>
      <c r="F234" s="124"/>
      <c r="G234" s="132">
        <f t="shared" si="15"/>
        <v>3000</v>
      </c>
      <c r="H234" s="132">
        <f t="shared" si="15"/>
        <v>3355</v>
      </c>
      <c r="K234" s="132">
        <f>K235</f>
        <v>3355</v>
      </c>
      <c r="L234" s="604">
        <f t="shared" si="12"/>
        <v>111.83333333333334</v>
      </c>
      <c r="M234" s="605">
        <f t="shared" si="13"/>
        <v>100</v>
      </c>
    </row>
    <row r="235" spans="1:13" ht="24">
      <c r="A235" s="130" t="s">
        <v>1705</v>
      </c>
      <c r="B235" s="184" t="s">
        <v>1213</v>
      </c>
      <c r="C235" s="124" t="s">
        <v>850</v>
      </c>
      <c r="D235" s="124" t="s">
        <v>1627</v>
      </c>
      <c r="E235" s="124" t="s">
        <v>653</v>
      </c>
      <c r="F235" s="124" t="s">
        <v>1706</v>
      </c>
      <c r="G235" s="132">
        <f t="shared" si="15"/>
        <v>3000</v>
      </c>
      <c r="H235" s="132">
        <f t="shared" si="15"/>
        <v>3355</v>
      </c>
      <c r="K235" s="132">
        <f>K236</f>
        <v>3355</v>
      </c>
      <c r="L235" s="604">
        <f t="shared" si="12"/>
        <v>111.83333333333334</v>
      </c>
      <c r="M235" s="605">
        <f t="shared" si="13"/>
        <v>100</v>
      </c>
    </row>
    <row r="236" spans="1:13" ht="24">
      <c r="A236" s="129" t="s">
        <v>977</v>
      </c>
      <c r="B236" s="184" t="s">
        <v>1213</v>
      </c>
      <c r="C236" s="124" t="s">
        <v>850</v>
      </c>
      <c r="D236" s="124" t="s">
        <v>1627</v>
      </c>
      <c r="E236" s="124" t="s">
        <v>653</v>
      </c>
      <c r="F236" s="124" t="s">
        <v>846</v>
      </c>
      <c r="G236" s="135">
        <f>3000</f>
        <v>3000</v>
      </c>
      <c r="H236" s="135">
        <f>3000+350+5</f>
        <v>3355</v>
      </c>
      <c r="K236" s="135">
        <v>3355</v>
      </c>
      <c r="L236" s="604">
        <f t="shared" si="12"/>
        <v>111.83333333333334</v>
      </c>
      <c r="M236" s="605">
        <f t="shared" si="13"/>
        <v>100</v>
      </c>
    </row>
    <row r="237" spans="1:13" ht="15">
      <c r="A237" s="139" t="s">
        <v>1453</v>
      </c>
      <c r="B237" s="184" t="s">
        <v>1213</v>
      </c>
      <c r="C237" s="124" t="s">
        <v>1624</v>
      </c>
      <c r="D237" s="124" t="s">
        <v>1064</v>
      </c>
      <c r="E237" s="124"/>
      <c r="F237" s="124"/>
      <c r="G237" s="132">
        <f aca="true" t="shared" si="16" ref="G237:H239">G238</f>
        <v>52056</v>
      </c>
      <c r="H237" s="132">
        <f t="shared" si="16"/>
        <v>47323</v>
      </c>
      <c r="K237" s="132">
        <f>K238</f>
        <v>31747.1</v>
      </c>
      <c r="L237" s="604">
        <f t="shared" si="12"/>
        <v>60.986437682495776</v>
      </c>
      <c r="M237" s="605">
        <f t="shared" si="13"/>
        <v>67.08598355979122</v>
      </c>
    </row>
    <row r="238" spans="1:13" ht="24">
      <c r="A238" s="160" t="s">
        <v>886</v>
      </c>
      <c r="B238" s="184" t="s">
        <v>1213</v>
      </c>
      <c r="C238" s="124" t="s">
        <v>1624</v>
      </c>
      <c r="D238" s="124" t="s">
        <v>1064</v>
      </c>
      <c r="E238" s="124" t="s">
        <v>1717</v>
      </c>
      <c r="F238" s="124"/>
      <c r="G238" s="132">
        <f t="shared" si="16"/>
        <v>52056</v>
      </c>
      <c r="H238" s="132">
        <f t="shared" si="16"/>
        <v>47323</v>
      </c>
      <c r="K238" s="132">
        <f>K239</f>
        <v>31747.1</v>
      </c>
      <c r="L238" s="604">
        <f t="shared" si="12"/>
        <v>60.986437682495776</v>
      </c>
      <c r="M238" s="605">
        <f t="shared" si="13"/>
        <v>67.08598355979122</v>
      </c>
    </row>
    <row r="239" spans="1:13" ht="24">
      <c r="A239" s="134" t="s">
        <v>1443</v>
      </c>
      <c r="B239" s="184" t="s">
        <v>1213</v>
      </c>
      <c r="C239" s="124" t="s">
        <v>1624</v>
      </c>
      <c r="D239" s="124" t="s">
        <v>1064</v>
      </c>
      <c r="E239" s="124" t="s">
        <v>549</v>
      </c>
      <c r="F239" s="124"/>
      <c r="G239" s="132">
        <f t="shared" si="16"/>
        <v>52056</v>
      </c>
      <c r="H239" s="132">
        <f t="shared" si="16"/>
        <v>47323</v>
      </c>
      <c r="K239" s="132">
        <f>K240</f>
        <v>31747.1</v>
      </c>
      <c r="L239" s="604">
        <f t="shared" si="12"/>
        <v>60.986437682495776</v>
      </c>
      <c r="M239" s="605">
        <f t="shared" si="13"/>
        <v>67.08598355979122</v>
      </c>
    </row>
    <row r="240" spans="1:13" ht="48">
      <c r="A240" s="170" t="s">
        <v>628</v>
      </c>
      <c r="B240" s="184" t="s">
        <v>1213</v>
      </c>
      <c r="C240" s="124" t="s">
        <v>1624</v>
      </c>
      <c r="D240" s="124" t="s">
        <v>1064</v>
      </c>
      <c r="E240" s="124" t="s">
        <v>650</v>
      </c>
      <c r="F240" s="124"/>
      <c r="G240" s="132">
        <f>G243+G241</f>
        <v>52056</v>
      </c>
      <c r="H240" s="132">
        <f>H243+H241</f>
        <v>47323</v>
      </c>
      <c r="K240" s="132">
        <f>K243+K241</f>
        <v>31747.1</v>
      </c>
      <c r="L240" s="604">
        <f t="shared" si="12"/>
        <v>60.986437682495776</v>
      </c>
      <c r="M240" s="605">
        <f t="shared" si="13"/>
        <v>67.08598355979122</v>
      </c>
    </row>
    <row r="241" spans="1:13" ht="24">
      <c r="A241" s="134" t="s">
        <v>782</v>
      </c>
      <c r="B241" s="184" t="s">
        <v>1213</v>
      </c>
      <c r="C241" s="124" t="s">
        <v>1624</v>
      </c>
      <c r="D241" s="124" t="s">
        <v>1064</v>
      </c>
      <c r="E241" s="124" t="s">
        <v>650</v>
      </c>
      <c r="F241" s="124" t="s">
        <v>1704</v>
      </c>
      <c r="G241" s="132">
        <f>G242</f>
        <v>0</v>
      </c>
      <c r="H241" s="132">
        <f>H242</f>
        <v>928</v>
      </c>
      <c r="K241" s="132">
        <f>K242</f>
        <v>234.8</v>
      </c>
      <c r="L241" s="604">
        <v>0</v>
      </c>
      <c r="M241" s="605">
        <f t="shared" si="13"/>
        <v>25.301724137931036</v>
      </c>
    </row>
    <row r="242" spans="1:13" ht="24">
      <c r="A242" s="134" t="s">
        <v>1718</v>
      </c>
      <c r="B242" s="184" t="s">
        <v>1213</v>
      </c>
      <c r="C242" s="124" t="s">
        <v>1624</v>
      </c>
      <c r="D242" s="124" t="s">
        <v>1064</v>
      </c>
      <c r="E242" s="124" t="s">
        <v>650</v>
      </c>
      <c r="F242" s="124" t="s">
        <v>1619</v>
      </c>
      <c r="G242" s="135">
        <v>0</v>
      </c>
      <c r="H242" s="135">
        <f>1020-92</f>
        <v>928</v>
      </c>
      <c r="K242" s="135">
        <v>234.8</v>
      </c>
      <c r="L242" s="604">
        <v>0</v>
      </c>
      <c r="M242" s="605">
        <f t="shared" si="13"/>
        <v>25.301724137931036</v>
      </c>
    </row>
    <row r="243" spans="1:13" ht="24">
      <c r="A243" s="130" t="s">
        <v>1705</v>
      </c>
      <c r="B243" s="184" t="s">
        <v>1213</v>
      </c>
      <c r="C243" s="124" t="s">
        <v>1624</v>
      </c>
      <c r="D243" s="124" t="s">
        <v>1064</v>
      </c>
      <c r="E243" s="124" t="s">
        <v>650</v>
      </c>
      <c r="F243" s="124" t="s">
        <v>1706</v>
      </c>
      <c r="G243" s="132">
        <f>G244</f>
        <v>52056</v>
      </c>
      <c r="H243" s="132">
        <f>H244</f>
        <v>46395</v>
      </c>
      <c r="K243" s="132">
        <f>K244</f>
        <v>31512.3</v>
      </c>
      <c r="L243" s="604">
        <f t="shared" si="12"/>
        <v>60.53538497003227</v>
      </c>
      <c r="M243" s="605">
        <f t="shared" si="13"/>
        <v>67.92175881021662</v>
      </c>
    </row>
    <row r="244" spans="1:13" ht="24">
      <c r="A244" s="129" t="s">
        <v>977</v>
      </c>
      <c r="B244" s="184" t="s">
        <v>1213</v>
      </c>
      <c r="C244" s="124" t="s">
        <v>1624</v>
      </c>
      <c r="D244" s="124" t="s">
        <v>1064</v>
      </c>
      <c r="E244" s="124" t="s">
        <v>650</v>
      </c>
      <c r="F244" s="124" t="s">
        <v>846</v>
      </c>
      <c r="G244" s="135">
        <f>52056</f>
        <v>52056</v>
      </c>
      <c r="H244" s="135">
        <f>52056-1020-4641</f>
        <v>46395</v>
      </c>
      <c r="K244" s="135">
        <v>31512.3</v>
      </c>
      <c r="L244" s="604">
        <f t="shared" si="12"/>
        <v>60.53538497003227</v>
      </c>
      <c r="M244" s="605">
        <f t="shared" si="13"/>
        <v>67.92175881021662</v>
      </c>
    </row>
    <row r="245" spans="1:13" ht="15.75">
      <c r="A245" s="181" t="s">
        <v>779</v>
      </c>
      <c r="B245" s="182" t="s">
        <v>780</v>
      </c>
      <c r="C245" s="182"/>
      <c r="D245" s="182"/>
      <c r="E245" s="182"/>
      <c r="F245" s="182"/>
      <c r="G245" s="183">
        <f>G246+G268+G355</f>
        <v>994682.6</v>
      </c>
      <c r="H245" s="183">
        <f>H246+H268+H355</f>
        <v>1015329.6</v>
      </c>
      <c r="K245" s="183">
        <f>K246+K268+K355</f>
        <v>994572</v>
      </c>
      <c r="L245" s="606">
        <f t="shared" si="12"/>
        <v>99.9888808751656</v>
      </c>
      <c r="M245" s="607">
        <f t="shared" si="13"/>
        <v>97.9555801387057</v>
      </c>
    </row>
    <row r="246" spans="1:13" ht="15">
      <c r="A246" s="185" t="s">
        <v>1065</v>
      </c>
      <c r="B246" s="184" t="s">
        <v>780</v>
      </c>
      <c r="C246" s="124" t="s">
        <v>1625</v>
      </c>
      <c r="D246" s="157"/>
      <c r="E246" s="157"/>
      <c r="F246" s="157"/>
      <c r="G246" s="132">
        <f>G247+G253</f>
        <v>163468</v>
      </c>
      <c r="H246" s="132">
        <f>H247+H253</f>
        <v>165325.8</v>
      </c>
      <c r="K246" s="132">
        <f>K247+K253</f>
        <v>164818.30000000002</v>
      </c>
      <c r="L246" s="604">
        <f t="shared" si="12"/>
        <v>100.82603322974528</v>
      </c>
      <c r="M246" s="605">
        <f t="shared" si="13"/>
        <v>99.69303036791598</v>
      </c>
    </row>
    <row r="247" spans="1:13" ht="15">
      <c r="A247" s="133" t="s">
        <v>1283</v>
      </c>
      <c r="B247" s="184" t="s">
        <v>780</v>
      </c>
      <c r="C247" s="124" t="s">
        <v>1625</v>
      </c>
      <c r="D247" s="124" t="s">
        <v>852</v>
      </c>
      <c r="E247" s="124"/>
      <c r="F247" s="124"/>
      <c r="G247" s="132">
        <f aca="true" t="shared" si="17" ref="G247:H250">G248</f>
        <v>132618</v>
      </c>
      <c r="H247" s="132">
        <f t="shared" si="17"/>
        <v>132683</v>
      </c>
      <c r="K247" s="132">
        <f>K248</f>
        <v>132337.7</v>
      </c>
      <c r="L247" s="604">
        <f t="shared" si="12"/>
        <v>99.78864105928307</v>
      </c>
      <c r="M247" s="605">
        <f t="shared" si="13"/>
        <v>99.73975565822299</v>
      </c>
    </row>
    <row r="248" spans="1:13" ht="24">
      <c r="A248" s="160" t="s">
        <v>886</v>
      </c>
      <c r="B248" s="184" t="s">
        <v>780</v>
      </c>
      <c r="C248" s="124" t="s">
        <v>1625</v>
      </c>
      <c r="D248" s="124" t="s">
        <v>852</v>
      </c>
      <c r="E248" s="124" t="s">
        <v>1717</v>
      </c>
      <c r="F248" s="124"/>
      <c r="G248" s="132">
        <f t="shared" si="17"/>
        <v>132618</v>
      </c>
      <c r="H248" s="132">
        <f t="shared" si="17"/>
        <v>132683</v>
      </c>
      <c r="K248" s="132">
        <f>K249</f>
        <v>132337.7</v>
      </c>
      <c r="L248" s="604">
        <f t="shared" si="12"/>
        <v>99.78864105928307</v>
      </c>
      <c r="M248" s="605">
        <f t="shared" si="13"/>
        <v>99.73975565822299</v>
      </c>
    </row>
    <row r="249" spans="1:13" ht="36">
      <c r="A249" s="161" t="s">
        <v>1029</v>
      </c>
      <c r="B249" s="184" t="s">
        <v>780</v>
      </c>
      <c r="C249" s="124" t="s">
        <v>1625</v>
      </c>
      <c r="D249" s="124" t="s">
        <v>852</v>
      </c>
      <c r="E249" s="124" t="s">
        <v>1448</v>
      </c>
      <c r="F249" s="124"/>
      <c r="G249" s="132">
        <f t="shared" si="17"/>
        <v>132618</v>
      </c>
      <c r="H249" s="132">
        <f t="shared" si="17"/>
        <v>132683</v>
      </c>
      <c r="K249" s="132">
        <f>K250</f>
        <v>132337.7</v>
      </c>
      <c r="L249" s="604">
        <f t="shared" si="12"/>
        <v>99.78864105928307</v>
      </c>
      <c r="M249" s="605">
        <f t="shared" si="13"/>
        <v>99.73975565822299</v>
      </c>
    </row>
    <row r="250" spans="1:13" ht="24">
      <c r="A250" s="129" t="s">
        <v>752</v>
      </c>
      <c r="B250" s="184" t="s">
        <v>780</v>
      </c>
      <c r="C250" s="124" t="s">
        <v>1625</v>
      </c>
      <c r="D250" s="124" t="s">
        <v>852</v>
      </c>
      <c r="E250" s="124" t="s">
        <v>543</v>
      </c>
      <c r="F250" s="124" t="s">
        <v>751</v>
      </c>
      <c r="G250" s="132">
        <f t="shared" si="17"/>
        <v>132618</v>
      </c>
      <c r="H250" s="132">
        <f t="shared" si="17"/>
        <v>132683</v>
      </c>
      <c r="K250" s="132">
        <f>K251</f>
        <v>132337.7</v>
      </c>
      <c r="L250" s="604">
        <f t="shared" si="12"/>
        <v>99.78864105928307</v>
      </c>
      <c r="M250" s="605">
        <f t="shared" si="13"/>
        <v>99.73975565822299</v>
      </c>
    </row>
    <row r="251" spans="1:13" ht="19.5" customHeight="1">
      <c r="A251" s="134" t="s">
        <v>753</v>
      </c>
      <c r="B251" s="184" t="s">
        <v>780</v>
      </c>
      <c r="C251" s="124" t="s">
        <v>1625</v>
      </c>
      <c r="D251" s="124" t="s">
        <v>852</v>
      </c>
      <c r="E251" s="124" t="s">
        <v>543</v>
      </c>
      <c r="F251" s="124" t="s">
        <v>1436</v>
      </c>
      <c r="G251" s="135">
        <f>132618+G252</f>
        <v>132618</v>
      </c>
      <c r="H251" s="135">
        <f>132618+H252</f>
        <v>132683</v>
      </c>
      <c r="K251" s="135">
        <v>132337.7</v>
      </c>
      <c r="L251" s="604">
        <f t="shared" si="12"/>
        <v>99.78864105928307</v>
      </c>
      <c r="M251" s="605">
        <f t="shared" si="13"/>
        <v>99.73975565822299</v>
      </c>
    </row>
    <row r="252" spans="1:13" ht="24">
      <c r="A252" s="134" t="s">
        <v>600</v>
      </c>
      <c r="B252" s="184" t="s">
        <v>780</v>
      </c>
      <c r="C252" s="127" t="s">
        <v>1625</v>
      </c>
      <c r="D252" s="127" t="s">
        <v>852</v>
      </c>
      <c r="E252" s="127" t="s">
        <v>543</v>
      </c>
      <c r="F252" s="127" t="s">
        <v>1436</v>
      </c>
      <c r="G252" s="135">
        <v>0</v>
      </c>
      <c r="H252" s="135">
        <v>65</v>
      </c>
      <c r="K252" s="135">
        <v>65</v>
      </c>
      <c r="L252" s="604">
        <v>0</v>
      </c>
      <c r="M252" s="605">
        <f t="shared" si="13"/>
        <v>100</v>
      </c>
    </row>
    <row r="253" spans="1:13" ht="15">
      <c r="A253" s="133" t="s">
        <v>1281</v>
      </c>
      <c r="B253" s="184" t="s">
        <v>780</v>
      </c>
      <c r="C253" s="124" t="s">
        <v>1625</v>
      </c>
      <c r="D253" s="124" t="s">
        <v>1625</v>
      </c>
      <c r="E253" s="124"/>
      <c r="F253" s="124"/>
      <c r="G253" s="132">
        <f>G254+G262</f>
        <v>30850</v>
      </c>
      <c r="H253" s="132">
        <f>H254+H262</f>
        <v>32642.8</v>
      </c>
      <c r="K253" s="132">
        <f>K254+K262</f>
        <v>32480.600000000002</v>
      </c>
      <c r="L253" s="604">
        <f t="shared" si="12"/>
        <v>105.28557536466776</v>
      </c>
      <c r="M253" s="605">
        <f t="shared" si="13"/>
        <v>99.50310635117087</v>
      </c>
    </row>
    <row r="254" spans="1:13" ht="24">
      <c r="A254" s="160" t="s">
        <v>886</v>
      </c>
      <c r="B254" s="184" t="s">
        <v>780</v>
      </c>
      <c r="C254" s="124" t="s">
        <v>1625</v>
      </c>
      <c r="D254" s="124" t="s">
        <v>1625</v>
      </c>
      <c r="E254" s="166" t="s">
        <v>1717</v>
      </c>
      <c r="F254" s="166"/>
      <c r="G254" s="171">
        <f aca="true" t="shared" si="18" ref="G254:H256">G255</f>
        <v>0</v>
      </c>
      <c r="H254" s="171">
        <f t="shared" si="18"/>
        <v>2047.8</v>
      </c>
      <c r="K254" s="171">
        <f>K255</f>
        <v>2047.6999999999998</v>
      </c>
      <c r="L254" s="604">
        <v>0</v>
      </c>
      <c r="M254" s="605">
        <f t="shared" si="13"/>
        <v>99.99511671061626</v>
      </c>
    </row>
    <row r="255" spans="1:13" ht="36">
      <c r="A255" s="161" t="s">
        <v>1029</v>
      </c>
      <c r="B255" s="184" t="s">
        <v>780</v>
      </c>
      <c r="C255" s="124" t="s">
        <v>1625</v>
      </c>
      <c r="D255" s="124" t="s">
        <v>1625</v>
      </c>
      <c r="E255" s="166" t="s">
        <v>1448</v>
      </c>
      <c r="F255" s="166"/>
      <c r="G255" s="171">
        <f t="shared" si="18"/>
        <v>0</v>
      </c>
      <c r="H255" s="171">
        <f t="shared" si="18"/>
        <v>2047.8</v>
      </c>
      <c r="K255" s="171">
        <f>K256</f>
        <v>2047.6999999999998</v>
      </c>
      <c r="L255" s="604">
        <v>0</v>
      </c>
      <c r="M255" s="605">
        <f t="shared" si="13"/>
        <v>99.99511671061626</v>
      </c>
    </row>
    <row r="256" spans="1:13" ht="24">
      <c r="A256" s="129" t="s">
        <v>397</v>
      </c>
      <c r="B256" s="184" t="s">
        <v>780</v>
      </c>
      <c r="C256" s="124" t="s">
        <v>1625</v>
      </c>
      <c r="D256" s="124" t="s">
        <v>1625</v>
      </c>
      <c r="E256" s="124" t="s">
        <v>648</v>
      </c>
      <c r="F256" s="124"/>
      <c r="G256" s="154">
        <f t="shared" si="18"/>
        <v>0</v>
      </c>
      <c r="H256" s="154">
        <f t="shared" si="18"/>
        <v>2047.8</v>
      </c>
      <c r="K256" s="154">
        <f>K257</f>
        <v>2047.6999999999998</v>
      </c>
      <c r="L256" s="604">
        <v>0</v>
      </c>
      <c r="M256" s="605">
        <f t="shared" si="13"/>
        <v>99.99511671061626</v>
      </c>
    </row>
    <row r="257" spans="1:13" ht="24">
      <c r="A257" s="129" t="s">
        <v>752</v>
      </c>
      <c r="B257" s="184" t="s">
        <v>780</v>
      </c>
      <c r="C257" s="124" t="s">
        <v>1625</v>
      </c>
      <c r="D257" s="124" t="s">
        <v>1625</v>
      </c>
      <c r="E257" s="124" t="s">
        <v>648</v>
      </c>
      <c r="F257" s="124" t="s">
        <v>751</v>
      </c>
      <c r="G257" s="154">
        <f>G258+G260</f>
        <v>0</v>
      </c>
      <c r="H257" s="154">
        <f>H258+H260</f>
        <v>2047.8</v>
      </c>
      <c r="K257" s="154">
        <f>K258+K260</f>
        <v>2047.6999999999998</v>
      </c>
      <c r="L257" s="604">
        <v>0</v>
      </c>
      <c r="M257" s="605">
        <f t="shared" si="13"/>
        <v>99.99511671061626</v>
      </c>
    </row>
    <row r="258" spans="1:13" ht="24">
      <c r="A258" s="134" t="s">
        <v>18</v>
      </c>
      <c r="B258" s="184" t="s">
        <v>780</v>
      </c>
      <c r="C258" s="124" t="s">
        <v>1625</v>
      </c>
      <c r="D258" s="124" t="s">
        <v>1625</v>
      </c>
      <c r="E258" s="124" t="s">
        <v>648</v>
      </c>
      <c r="F258" s="124" t="s">
        <v>1436</v>
      </c>
      <c r="G258" s="154">
        <f>G259</f>
        <v>0</v>
      </c>
      <c r="H258" s="154">
        <f>H259</f>
        <v>1360</v>
      </c>
      <c r="K258" s="154">
        <f>K259</f>
        <v>1360</v>
      </c>
      <c r="L258" s="604">
        <v>0</v>
      </c>
      <c r="M258" s="605">
        <f t="shared" si="13"/>
        <v>100</v>
      </c>
    </row>
    <row r="259" spans="1:13" ht="24">
      <c r="A259" s="134" t="s">
        <v>1398</v>
      </c>
      <c r="B259" s="184" t="s">
        <v>780</v>
      </c>
      <c r="C259" s="124" t="s">
        <v>1625</v>
      </c>
      <c r="D259" s="124" t="s">
        <v>1625</v>
      </c>
      <c r="E259" s="124" t="s">
        <v>648</v>
      </c>
      <c r="F259" s="124" t="s">
        <v>1436</v>
      </c>
      <c r="G259" s="135">
        <v>0</v>
      </c>
      <c r="H259" s="135">
        <v>1360</v>
      </c>
      <c r="K259" s="135">
        <v>1360</v>
      </c>
      <c r="L259" s="604">
        <v>0</v>
      </c>
      <c r="M259" s="605">
        <f t="shared" si="13"/>
        <v>100</v>
      </c>
    </row>
    <row r="260" spans="1:13" ht="24">
      <c r="A260" s="134" t="s">
        <v>1687</v>
      </c>
      <c r="B260" s="184" t="s">
        <v>780</v>
      </c>
      <c r="C260" s="124" t="s">
        <v>1625</v>
      </c>
      <c r="D260" s="124" t="s">
        <v>1625</v>
      </c>
      <c r="E260" s="124" t="s">
        <v>648</v>
      </c>
      <c r="F260" s="124" t="s">
        <v>1502</v>
      </c>
      <c r="G260" s="154">
        <f>G261</f>
        <v>0</v>
      </c>
      <c r="H260" s="154">
        <f>H261</f>
        <v>687.8</v>
      </c>
      <c r="K260" s="154">
        <f>K261</f>
        <v>687.6999999999999</v>
      </c>
      <c r="L260" s="604">
        <v>0</v>
      </c>
      <c r="M260" s="605">
        <f t="shared" si="13"/>
        <v>99.98546088979354</v>
      </c>
    </row>
    <row r="261" spans="1:13" ht="24">
      <c r="A261" s="134" t="s">
        <v>1398</v>
      </c>
      <c r="B261" s="184" t="s">
        <v>780</v>
      </c>
      <c r="C261" s="124" t="s">
        <v>1625</v>
      </c>
      <c r="D261" s="124" t="s">
        <v>1625</v>
      </c>
      <c r="E261" s="124" t="s">
        <v>648</v>
      </c>
      <c r="F261" s="124" t="s">
        <v>1502</v>
      </c>
      <c r="G261" s="135">
        <v>0</v>
      </c>
      <c r="H261" s="135">
        <f>576.4+111.4</f>
        <v>687.8</v>
      </c>
      <c r="K261" s="135">
        <f>576.4+111.3</f>
        <v>687.6999999999999</v>
      </c>
      <c r="L261" s="604">
        <v>0</v>
      </c>
      <c r="M261" s="605">
        <f t="shared" si="13"/>
        <v>99.98546088979354</v>
      </c>
    </row>
    <row r="262" spans="1:13" ht="24">
      <c r="A262" s="141" t="s">
        <v>732</v>
      </c>
      <c r="B262" s="184" t="s">
        <v>780</v>
      </c>
      <c r="C262" s="124" t="s">
        <v>1625</v>
      </c>
      <c r="D262" s="124" t="s">
        <v>1625</v>
      </c>
      <c r="E262" s="124" t="s">
        <v>625</v>
      </c>
      <c r="F262" s="124"/>
      <c r="G262" s="132">
        <f aca="true" t="shared" si="19" ref="G262:H264">G263</f>
        <v>30850</v>
      </c>
      <c r="H262" s="132">
        <f t="shared" si="19"/>
        <v>30595</v>
      </c>
      <c r="K262" s="132">
        <f>K263</f>
        <v>30432.9</v>
      </c>
      <c r="L262" s="604">
        <f t="shared" si="12"/>
        <v>98.64797406807132</v>
      </c>
      <c r="M262" s="605">
        <f t="shared" si="13"/>
        <v>99.47017486517406</v>
      </c>
    </row>
    <row r="263" spans="1:13" ht="24">
      <c r="A263" s="134" t="s">
        <v>519</v>
      </c>
      <c r="B263" s="184" t="s">
        <v>780</v>
      </c>
      <c r="C263" s="124" t="s">
        <v>1625</v>
      </c>
      <c r="D263" s="124" t="s">
        <v>1625</v>
      </c>
      <c r="E263" s="124" t="s">
        <v>1722</v>
      </c>
      <c r="F263" s="124"/>
      <c r="G263" s="132">
        <f t="shared" si="19"/>
        <v>30850</v>
      </c>
      <c r="H263" s="132">
        <f t="shared" si="19"/>
        <v>30595</v>
      </c>
      <c r="K263" s="132">
        <f>K264</f>
        <v>30432.9</v>
      </c>
      <c r="L263" s="604">
        <f t="shared" si="12"/>
        <v>98.64797406807132</v>
      </c>
      <c r="M263" s="605">
        <f t="shared" si="13"/>
        <v>99.47017486517406</v>
      </c>
    </row>
    <row r="264" spans="1:13" ht="24">
      <c r="A264" s="129" t="s">
        <v>752</v>
      </c>
      <c r="B264" s="184" t="s">
        <v>780</v>
      </c>
      <c r="C264" s="124" t="s">
        <v>1625</v>
      </c>
      <c r="D264" s="124" t="s">
        <v>1625</v>
      </c>
      <c r="E264" s="124" t="s">
        <v>520</v>
      </c>
      <c r="F264" s="124" t="s">
        <v>751</v>
      </c>
      <c r="G264" s="132">
        <f t="shared" si="19"/>
        <v>30850</v>
      </c>
      <c r="H264" s="132">
        <f t="shared" si="19"/>
        <v>30595</v>
      </c>
      <c r="K264" s="132">
        <f>K265</f>
        <v>30432.9</v>
      </c>
      <c r="L264" s="604">
        <f t="shared" si="12"/>
        <v>98.64797406807132</v>
      </c>
      <c r="M264" s="605">
        <f t="shared" si="13"/>
        <v>99.47017486517406</v>
      </c>
    </row>
    <row r="265" spans="1:13" ht="24">
      <c r="A265" s="165" t="s">
        <v>18</v>
      </c>
      <c r="B265" s="184" t="s">
        <v>780</v>
      </c>
      <c r="C265" s="166" t="s">
        <v>1625</v>
      </c>
      <c r="D265" s="166" t="s">
        <v>1625</v>
      </c>
      <c r="E265" s="166" t="s">
        <v>520</v>
      </c>
      <c r="F265" s="166" t="s">
        <v>1436</v>
      </c>
      <c r="G265" s="167">
        <f>28050+G266</f>
        <v>30850</v>
      </c>
      <c r="H265" s="167">
        <f>28050+H266+H267-640</f>
        <v>30595</v>
      </c>
      <c r="K265" s="167">
        <v>30432.9</v>
      </c>
      <c r="L265" s="604">
        <f t="shared" si="12"/>
        <v>98.64797406807132</v>
      </c>
      <c r="M265" s="605">
        <f t="shared" si="13"/>
        <v>99.47017486517406</v>
      </c>
    </row>
    <row r="266" spans="1:13" ht="24">
      <c r="A266" s="165" t="s">
        <v>1047</v>
      </c>
      <c r="B266" s="184" t="s">
        <v>780</v>
      </c>
      <c r="C266" s="166" t="s">
        <v>1625</v>
      </c>
      <c r="D266" s="166" t="s">
        <v>1625</v>
      </c>
      <c r="E266" s="166" t="s">
        <v>520</v>
      </c>
      <c r="F266" s="166" t="s">
        <v>1436</v>
      </c>
      <c r="G266" s="168">
        <f>2800</f>
        <v>2800</v>
      </c>
      <c r="H266" s="168">
        <f>2800+320</f>
        <v>3120</v>
      </c>
      <c r="K266" s="168">
        <v>3087.2</v>
      </c>
      <c r="L266" s="604">
        <f t="shared" si="12"/>
        <v>110.25714285714285</v>
      </c>
      <c r="M266" s="605">
        <f t="shared" si="13"/>
        <v>98.94871794871794</v>
      </c>
    </row>
    <row r="267" spans="1:13" ht="24">
      <c r="A267" s="165" t="s">
        <v>398</v>
      </c>
      <c r="B267" s="184" t="s">
        <v>780</v>
      </c>
      <c r="C267" s="166" t="s">
        <v>1625</v>
      </c>
      <c r="D267" s="166" t="s">
        <v>1625</v>
      </c>
      <c r="E267" s="166" t="s">
        <v>520</v>
      </c>
      <c r="F267" s="166" t="s">
        <v>1436</v>
      </c>
      <c r="G267" s="167">
        <v>0</v>
      </c>
      <c r="H267" s="167">
        <v>65</v>
      </c>
      <c r="K267" s="167">
        <v>61.2</v>
      </c>
      <c r="L267" s="604">
        <v>0</v>
      </c>
      <c r="M267" s="605">
        <f t="shared" si="13"/>
        <v>94.15384615384616</v>
      </c>
    </row>
    <row r="268" spans="1:13" ht="15">
      <c r="A268" s="185" t="s">
        <v>36</v>
      </c>
      <c r="B268" s="184" t="s">
        <v>780</v>
      </c>
      <c r="C268" s="124" t="s">
        <v>815</v>
      </c>
      <c r="D268" s="124"/>
      <c r="E268" s="124"/>
      <c r="F268" s="124"/>
      <c r="G268" s="132">
        <f>G269+G329</f>
        <v>427393</v>
      </c>
      <c r="H268" s="132">
        <f>H269+H329</f>
        <v>459653.10000000003</v>
      </c>
      <c r="K268" s="132">
        <f>K269+K329</f>
        <v>454092.9</v>
      </c>
      <c r="L268" s="604">
        <f aca="true" t="shared" si="20" ref="L268:L278">K268/G268*100</f>
        <v>106.24715425849278</v>
      </c>
      <c r="M268" s="605">
        <f t="shared" si="13"/>
        <v>98.79034863465513</v>
      </c>
    </row>
    <row r="269" spans="1:13" ht="15">
      <c r="A269" s="133" t="s">
        <v>965</v>
      </c>
      <c r="B269" s="184" t="s">
        <v>780</v>
      </c>
      <c r="C269" s="124" t="s">
        <v>815</v>
      </c>
      <c r="D269" s="124" t="s">
        <v>1594</v>
      </c>
      <c r="E269" s="124"/>
      <c r="F269" s="124"/>
      <c r="G269" s="132">
        <f>G270+G307+G326+G320</f>
        <v>308160</v>
      </c>
      <c r="H269" s="132">
        <f>H270+H307+H326+H320</f>
        <v>340565.7</v>
      </c>
      <c r="I269" s="132">
        <f>I270+I307+I326+I320</f>
        <v>0</v>
      </c>
      <c r="J269" s="132">
        <f>J270+J307+J326+J320</f>
        <v>0</v>
      </c>
      <c r="K269" s="132">
        <f>K270+K307+K326+K320</f>
        <v>337639</v>
      </c>
      <c r="L269" s="604">
        <f t="shared" si="20"/>
        <v>109.56613447559708</v>
      </c>
      <c r="M269" s="605">
        <f aca="true" t="shared" si="21" ref="M269:M332">K269/H269*100</f>
        <v>99.14063571287419</v>
      </c>
    </row>
    <row r="270" spans="1:13" ht="24">
      <c r="A270" s="160" t="s">
        <v>1451</v>
      </c>
      <c r="B270" s="184" t="s">
        <v>780</v>
      </c>
      <c r="C270" s="124" t="s">
        <v>815</v>
      </c>
      <c r="D270" s="124" t="s">
        <v>1594</v>
      </c>
      <c r="E270" s="124" t="s">
        <v>14</v>
      </c>
      <c r="F270" s="124"/>
      <c r="G270" s="132">
        <f>G271+G273+G275+G281+G285+G292</f>
        <v>308160</v>
      </c>
      <c r="H270" s="132">
        <f>H271+H273+H275+H281+H285+H292</f>
        <v>323173.60000000003</v>
      </c>
      <c r="K270" s="132">
        <f>K271+K273+K275+K281+K285+K292</f>
        <v>321237</v>
      </c>
      <c r="L270" s="604">
        <f t="shared" si="20"/>
        <v>104.24357476635512</v>
      </c>
      <c r="M270" s="605">
        <f t="shared" si="21"/>
        <v>99.40075550725676</v>
      </c>
    </row>
    <row r="271" spans="1:13" ht="24">
      <c r="A271" s="129" t="s">
        <v>752</v>
      </c>
      <c r="B271" s="184" t="s">
        <v>780</v>
      </c>
      <c r="C271" s="124" t="s">
        <v>815</v>
      </c>
      <c r="D271" s="124" t="s">
        <v>1594</v>
      </c>
      <c r="E271" s="124" t="s">
        <v>521</v>
      </c>
      <c r="F271" s="124" t="s">
        <v>751</v>
      </c>
      <c r="G271" s="132">
        <f>G272</f>
        <v>211809</v>
      </c>
      <c r="H271" s="132">
        <f>H272</f>
        <v>198911.4</v>
      </c>
      <c r="K271" s="132">
        <f>K272</f>
        <v>198911.4</v>
      </c>
      <c r="L271" s="604">
        <f t="shared" si="20"/>
        <v>93.91074033681288</v>
      </c>
      <c r="M271" s="605">
        <f t="shared" si="21"/>
        <v>100</v>
      </c>
    </row>
    <row r="272" spans="1:13" ht="24">
      <c r="A272" s="134" t="s">
        <v>753</v>
      </c>
      <c r="B272" s="184" t="s">
        <v>780</v>
      </c>
      <c r="C272" s="124" t="s">
        <v>815</v>
      </c>
      <c r="D272" s="124" t="s">
        <v>1594</v>
      </c>
      <c r="E272" s="124" t="s">
        <v>521</v>
      </c>
      <c r="F272" s="124" t="s">
        <v>1436</v>
      </c>
      <c r="G272" s="135">
        <f>211809</f>
        <v>211809</v>
      </c>
      <c r="H272" s="135">
        <f>211809-11440-7500-57.6+4800+1300</f>
        <v>198911.4</v>
      </c>
      <c r="K272" s="135">
        <f>211809-11440-7500-57.6+4800+1300</f>
        <v>198911.4</v>
      </c>
      <c r="L272" s="604">
        <f t="shared" si="20"/>
        <v>93.91074033681288</v>
      </c>
      <c r="M272" s="605">
        <f t="shared" si="21"/>
        <v>100</v>
      </c>
    </row>
    <row r="273" spans="1:13" ht="24">
      <c r="A273" s="129" t="s">
        <v>752</v>
      </c>
      <c r="B273" s="184" t="s">
        <v>780</v>
      </c>
      <c r="C273" s="124" t="s">
        <v>815</v>
      </c>
      <c r="D273" s="124" t="s">
        <v>1594</v>
      </c>
      <c r="E273" s="124" t="s">
        <v>527</v>
      </c>
      <c r="F273" s="124" t="s">
        <v>751</v>
      </c>
      <c r="G273" s="132">
        <f>G274</f>
        <v>4610</v>
      </c>
      <c r="H273" s="132">
        <f>H274</f>
        <v>4558.7</v>
      </c>
      <c r="K273" s="132">
        <f>K274</f>
        <v>4524.4</v>
      </c>
      <c r="L273" s="604">
        <f t="shared" si="20"/>
        <v>98.14316702819956</v>
      </c>
      <c r="M273" s="605">
        <f t="shared" si="21"/>
        <v>99.24759251541009</v>
      </c>
    </row>
    <row r="274" spans="1:13" ht="24">
      <c r="A274" s="134" t="s">
        <v>1212</v>
      </c>
      <c r="B274" s="184" t="s">
        <v>780</v>
      </c>
      <c r="C274" s="124" t="s">
        <v>815</v>
      </c>
      <c r="D274" s="124" t="s">
        <v>1594</v>
      </c>
      <c r="E274" s="124" t="s">
        <v>527</v>
      </c>
      <c r="F274" s="124" t="s">
        <v>1436</v>
      </c>
      <c r="G274" s="135">
        <f>4610</f>
        <v>4610</v>
      </c>
      <c r="H274" s="135">
        <f>4610-200+148.7</f>
        <v>4558.7</v>
      </c>
      <c r="K274" s="135">
        <v>4524.4</v>
      </c>
      <c r="L274" s="604">
        <f t="shared" si="20"/>
        <v>98.14316702819956</v>
      </c>
      <c r="M274" s="605">
        <f t="shared" si="21"/>
        <v>99.24759251541009</v>
      </c>
    </row>
    <row r="275" spans="1:13" ht="24">
      <c r="A275" s="129" t="s">
        <v>752</v>
      </c>
      <c r="B275" s="184" t="s">
        <v>780</v>
      </c>
      <c r="C275" s="124" t="s">
        <v>815</v>
      </c>
      <c r="D275" s="124" t="s">
        <v>1594</v>
      </c>
      <c r="E275" s="124" t="s">
        <v>524</v>
      </c>
      <c r="F275" s="124" t="s">
        <v>751</v>
      </c>
      <c r="G275" s="132">
        <f>G276+G279</f>
        <v>5000</v>
      </c>
      <c r="H275" s="132">
        <f>H276+H279</f>
        <v>14590.1</v>
      </c>
      <c r="K275" s="132">
        <f>K276+K279</f>
        <v>14554.4</v>
      </c>
      <c r="L275" s="604">
        <f t="shared" si="20"/>
        <v>291.088</v>
      </c>
      <c r="M275" s="605">
        <f t="shared" si="21"/>
        <v>99.75531353451997</v>
      </c>
    </row>
    <row r="276" spans="1:13" ht="24">
      <c r="A276" s="134" t="s">
        <v>18</v>
      </c>
      <c r="B276" s="184" t="s">
        <v>780</v>
      </c>
      <c r="C276" s="124" t="s">
        <v>815</v>
      </c>
      <c r="D276" s="124" t="s">
        <v>1594</v>
      </c>
      <c r="E276" s="124" t="s">
        <v>524</v>
      </c>
      <c r="F276" s="124" t="s">
        <v>1436</v>
      </c>
      <c r="G276" s="135">
        <f>G277</f>
        <v>5000</v>
      </c>
      <c r="H276" s="135">
        <f>H277</f>
        <v>13990.1</v>
      </c>
      <c r="K276" s="135">
        <f>K277</f>
        <v>13954.4</v>
      </c>
      <c r="L276" s="604">
        <f t="shared" si="20"/>
        <v>279.088</v>
      </c>
      <c r="M276" s="605">
        <f t="shared" si="21"/>
        <v>99.74481955096817</v>
      </c>
    </row>
    <row r="277" spans="1:13" ht="24">
      <c r="A277" s="134" t="s">
        <v>704</v>
      </c>
      <c r="B277" s="184" t="s">
        <v>780</v>
      </c>
      <c r="C277" s="124" t="s">
        <v>815</v>
      </c>
      <c r="D277" s="124" t="s">
        <v>1594</v>
      </c>
      <c r="E277" s="124" t="s">
        <v>524</v>
      </c>
      <c r="F277" s="124" t="s">
        <v>1436</v>
      </c>
      <c r="G277" s="132">
        <f>G278</f>
        <v>5000</v>
      </c>
      <c r="H277" s="132">
        <f>H278</f>
        <v>13990.1</v>
      </c>
      <c r="K277" s="132">
        <f>K278</f>
        <v>13954.4</v>
      </c>
      <c r="L277" s="604">
        <f t="shared" si="20"/>
        <v>279.088</v>
      </c>
      <c r="M277" s="605">
        <f t="shared" si="21"/>
        <v>99.74481955096817</v>
      </c>
    </row>
    <row r="278" spans="1:13" ht="24">
      <c r="A278" s="134" t="s">
        <v>636</v>
      </c>
      <c r="B278" s="184" t="s">
        <v>780</v>
      </c>
      <c r="C278" s="124" t="s">
        <v>815</v>
      </c>
      <c r="D278" s="124" t="s">
        <v>1594</v>
      </c>
      <c r="E278" s="124" t="s">
        <v>524</v>
      </c>
      <c r="F278" s="124" t="s">
        <v>1436</v>
      </c>
      <c r="G278" s="135">
        <f>5000</f>
        <v>5000</v>
      </c>
      <c r="H278" s="135">
        <f>5000+3552.1+485+115+228+3190+475+945</f>
        <v>13990.1</v>
      </c>
      <c r="K278" s="135">
        <v>13954.4</v>
      </c>
      <c r="L278" s="604">
        <f t="shared" si="20"/>
        <v>279.088</v>
      </c>
      <c r="M278" s="605">
        <f t="shared" si="21"/>
        <v>99.74481955096817</v>
      </c>
    </row>
    <row r="279" spans="1:13" ht="24">
      <c r="A279" s="134" t="s">
        <v>1687</v>
      </c>
      <c r="B279" s="184" t="s">
        <v>780</v>
      </c>
      <c r="C279" s="124" t="s">
        <v>815</v>
      </c>
      <c r="D279" s="124" t="s">
        <v>1594</v>
      </c>
      <c r="E279" s="124" t="s">
        <v>524</v>
      </c>
      <c r="F279" s="124" t="s">
        <v>1502</v>
      </c>
      <c r="G279" s="132">
        <f>G280</f>
        <v>0</v>
      </c>
      <c r="H279" s="132">
        <f>H280</f>
        <v>600</v>
      </c>
      <c r="K279" s="132">
        <f>K280</f>
        <v>600</v>
      </c>
      <c r="L279" s="604">
        <v>0</v>
      </c>
      <c r="M279" s="605">
        <f t="shared" si="21"/>
        <v>100</v>
      </c>
    </row>
    <row r="280" spans="1:13" ht="24">
      <c r="A280" s="134" t="s">
        <v>636</v>
      </c>
      <c r="B280" s="184" t="s">
        <v>780</v>
      </c>
      <c r="C280" s="124" t="s">
        <v>815</v>
      </c>
      <c r="D280" s="124" t="s">
        <v>1594</v>
      </c>
      <c r="E280" s="124" t="s">
        <v>524</v>
      </c>
      <c r="F280" s="124" t="s">
        <v>1502</v>
      </c>
      <c r="G280" s="135">
        <v>0</v>
      </c>
      <c r="H280" s="135">
        <f>600</f>
        <v>600</v>
      </c>
      <c r="K280" s="135">
        <f>600</f>
        <v>600</v>
      </c>
      <c r="L280" s="604">
        <v>0</v>
      </c>
      <c r="M280" s="605">
        <f t="shared" si="21"/>
        <v>100</v>
      </c>
    </row>
    <row r="281" spans="1:13" ht="24">
      <c r="A281" s="129" t="s">
        <v>752</v>
      </c>
      <c r="B281" s="184" t="s">
        <v>780</v>
      </c>
      <c r="C281" s="124" t="s">
        <v>815</v>
      </c>
      <c r="D281" s="124" t="s">
        <v>1594</v>
      </c>
      <c r="E281" s="124" t="s">
        <v>521</v>
      </c>
      <c r="F281" s="124" t="s">
        <v>751</v>
      </c>
      <c r="G281" s="132">
        <f>G282</f>
        <v>29442</v>
      </c>
      <c r="H281" s="132">
        <f>H282</f>
        <v>29057</v>
      </c>
      <c r="K281" s="132">
        <f>K282</f>
        <v>29054.4</v>
      </c>
      <c r="L281" s="604">
        <f>K281/G281*100</f>
        <v>98.68351334827797</v>
      </c>
      <c r="M281" s="605">
        <f t="shared" si="21"/>
        <v>99.99105207006917</v>
      </c>
    </row>
    <row r="282" spans="1:13" ht="24">
      <c r="A282" s="134" t="s">
        <v>1501</v>
      </c>
      <c r="B282" s="184" t="s">
        <v>780</v>
      </c>
      <c r="C282" s="124" t="s">
        <v>815</v>
      </c>
      <c r="D282" s="124" t="s">
        <v>1594</v>
      </c>
      <c r="E282" s="124" t="s">
        <v>521</v>
      </c>
      <c r="F282" s="124" t="s">
        <v>1502</v>
      </c>
      <c r="G282" s="135">
        <f>29442</f>
        <v>29442</v>
      </c>
      <c r="H282" s="135">
        <f>29442+115+H283+H284-1630+15+150+60+220</f>
        <v>29057</v>
      </c>
      <c r="K282" s="135">
        <v>29054.4</v>
      </c>
      <c r="L282" s="604">
        <f>K282/G282*100</f>
        <v>98.68351334827797</v>
      </c>
      <c r="M282" s="605">
        <f t="shared" si="21"/>
        <v>99.99105207006917</v>
      </c>
    </row>
    <row r="283" spans="1:13" ht="24">
      <c r="A283" s="134" t="s">
        <v>399</v>
      </c>
      <c r="B283" s="184" t="s">
        <v>780</v>
      </c>
      <c r="C283" s="124" t="s">
        <v>815</v>
      </c>
      <c r="D283" s="124" t="s">
        <v>1594</v>
      </c>
      <c r="E283" s="124" t="s">
        <v>521</v>
      </c>
      <c r="F283" s="124" t="s">
        <v>1502</v>
      </c>
      <c r="G283" s="135">
        <v>0</v>
      </c>
      <c r="H283" s="135">
        <f>550-50</f>
        <v>500</v>
      </c>
      <c r="K283" s="135">
        <v>499.5</v>
      </c>
      <c r="L283" s="604">
        <v>0</v>
      </c>
      <c r="M283" s="605">
        <f t="shared" si="21"/>
        <v>99.9</v>
      </c>
    </row>
    <row r="284" spans="1:13" ht="24">
      <c r="A284" s="134" t="s">
        <v>400</v>
      </c>
      <c r="B284" s="184" t="s">
        <v>780</v>
      </c>
      <c r="C284" s="124" t="s">
        <v>815</v>
      </c>
      <c r="D284" s="124" t="s">
        <v>1594</v>
      </c>
      <c r="E284" s="124" t="s">
        <v>521</v>
      </c>
      <c r="F284" s="124" t="s">
        <v>1502</v>
      </c>
      <c r="G284" s="135">
        <v>0</v>
      </c>
      <c r="H284" s="135">
        <v>185</v>
      </c>
      <c r="K284" s="135">
        <v>182.9</v>
      </c>
      <c r="L284" s="604">
        <v>0</v>
      </c>
      <c r="M284" s="605">
        <f t="shared" si="21"/>
        <v>98.86486486486487</v>
      </c>
    </row>
    <row r="285" spans="1:13" ht="24">
      <c r="A285" s="129" t="s">
        <v>532</v>
      </c>
      <c r="B285" s="184" t="s">
        <v>780</v>
      </c>
      <c r="C285" s="124" t="s">
        <v>815</v>
      </c>
      <c r="D285" s="124" t="s">
        <v>1594</v>
      </c>
      <c r="E285" s="124" t="s">
        <v>497</v>
      </c>
      <c r="F285" s="124"/>
      <c r="G285" s="132">
        <f>G286+G289</f>
        <v>52299</v>
      </c>
      <c r="H285" s="132">
        <f>H286+H289</f>
        <v>51493.5</v>
      </c>
      <c r="I285" s="132">
        <f>I286+I289</f>
        <v>0</v>
      </c>
      <c r="J285" s="132">
        <f>J286+J289</f>
        <v>0</v>
      </c>
      <c r="K285" s="132">
        <f>K286+K289</f>
        <v>51219.7</v>
      </c>
      <c r="L285" s="604">
        <f>K285/G285*100</f>
        <v>97.93628941279947</v>
      </c>
      <c r="M285" s="605">
        <f t="shared" si="21"/>
        <v>99.46828240457532</v>
      </c>
    </row>
    <row r="286" spans="1:13" ht="36">
      <c r="A286" s="177" t="s">
        <v>1390</v>
      </c>
      <c r="B286" s="184" t="s">
        <v>780</v>
      </c>
      <c r="C286" s="124" t="s">
        <v>815</v>
      </c>
      <c r="D286" s="124" t="s">
        <v>1594</v>
      </c>
      <c r="E286" s="124" t="s">
        <v>963</v>
      </c>
      <c r="F286" s="124"/>
      <c r="G286" s="132">
        <f>G287</f>
        <v>0</v>
      </c>
      <c r="H286" s="132">
        <f>H287</f>
        <v>65.1</v>
      </c>
      <c r="K286" s="132">
        <f>K287</f>
        <v>65</v>
      </c>
      <c r="L286" s="604">
        <v>0</v>
      </c>
      <c r="M286" s="605">
        <f t="shared" si="21"/>
        <v>99.84639016897083</v>
      </c>
    </row>
    <row r="287" spans="1:13" ht="24">
      <c r="A287" s="129" t="s">
        <v>752</v>
      </c>
      <c r="B287" s="184" t="s">
        <v>780</v>
      </c>
      <c r="C287" s="124" t="s">
        <v>815</v>
      </c>
      <c r="D287" s="124" t="s">
        <v>1594</v>
      </c>
      <c r="E287" s="124" t="s">
        <v>963</v>
      </c>
      <c r="F287" s="124" t="s">
        <v>751</v>
      </c>
      <c r="G287" s="132">
        <f>G288</f>
        <v>0</v>
      </c>
      <c r="H287" s="132">
        <f>H288</f>
        <v>65.1</v>
      </c>
      <c r="K287" s="132">
        <f>K288</f>
        <v>65</v>
      </c>
      <c r="L287" s="604">
        <v>0</v>
      </c>
      <c r="M287" s="605">
        <f t="shared" si="21"/>
        <v>99.84639016897083</v>
      </c>
    </row>
    <row r="288" spans="1:13" ht="24">
      <c r="A288" s="134" t="s">
        <v>1212</v>
      </c>
      <c r="B288" s="184" t="s">
        <v>780</v>
      </c>
      <c r="C288" s="124" t="s">
        <v>815</v>
      </c>
      <c r="D288" s="124" t="s">
        <v>1594</v>
      </c>
      <c r="E288" s="124" t="s">
        <v>963</v>
      </c>
      <c r="F288" s="124" t="s">
        <v>1436</v>
      </c>
      <c r="G288" s="135">
        <v>0</v>
      </c>
      <c r="H288" s="135">
        <v>65.1</v>
      </c>
      <c r="K288" s="135">
        <v>65</v>
      </c>
      <c r="L288" s="604">
        <v>0</v>
      </c>
      <c r="M288" s="605">
        <f t="shared" si="21"/>
        <v>99.84639016897083</v>
      </c>
    </row>
    <row r="289" spans="1:13" ht="24">
      <c r="A289" s="129" t="s">
        <v>752</v>
      </c>
      <c r="B289" s="184" t="s">
        <v>780</v>
      </c>
      <c r="C289" s="124" t="s">
        <v>815</v>
      </c>
      <c r="D289" s="124" t="s">
        <v>1594</v>
      </c>
      <c r="E289" s="124" t="s">
        <v>523</v>
      </c>
      <c r="F289" s="124" t="s">
        <v>751</v>
      </c>
      <c r="G289" s="132">
        <f>G290</f>
        <v>52299</v>
      </c>
      <c r="H289" s="132">
        <f>H290</f>
        <v>51428.4</v>
      </c>
      <c r="K289" s="132">
        <f>K290</f>
        <v>51154.7</v>
      </c>
      <c r="L289" s="604">
        <f>K289/G289*100</f>
        <v>97.81200405361479</v>
      </c>
      <c r="M289" s="605">
        <f t="shared" si="21"/>
        <v>99.46780378156815</v>
      </c>
    </row>
    <row r="290" spans="1:13" ht="24">
      <c r="A290" s="134" t="s">
        <v>414</v>
      </c>
      <c r="B290" s="184" t="s">
        <v>780</v>
      </c>
      <c r="C290" s="124" t="s">
        <v>815</v>
      </c>
      <c r="D290" s="124" t="s">
        <v>1594</v>
      </c>
      <c r="E290" s="124" t="s">
        <v>523</v>
      </c>
      <c r="F290" s="124" t="s">
        <v>1436</v>
      </c>
      <c r="G290" s="135">
        <f>52299+G291</f>
        <v>52299</v>
      </c>
      <c r="H290" s="135">
        <f>52299+H291+1050-2560+220-35-1300+400</f>
        <v>51428.4</v>
      </c>
      <c r="K290" s="135">
        <v>51154.7</v>
      </c>
      <c r="L290" s="604">
        <f>K290/G290*100</f>
        <v>97.81200405361479</v>
      </c>
      <c r="M290" s="605">
        <f t="shared" si="21"/>
        <v>99.46780378156815</v>
      </c>
    </row>
    <row r="291" spans="1:13" ht="36">
      <c r="A291" s="134" t="s">
        <v>1693</v>
      </c>
      <c r="B291" s="184" t="s">
        <v>780</v>
      </c>
      <c r="C291" s="124" t="s">
        <v>815</v>
      </c>
      <c r="D291" s="124" t="s">
        <v>1594</v>
      </c>
      <c r="E291" s="124" t="s">
        <v>523</v>
      </c>
      <c r="F291" s="124" t="s">
        <v>1436</v>
      </c>
      <c r="G291" s="135">
        <v>0</v>
      </c>
      <c r="H291" s="135">
        <f>819.4+500+35</f>
        <v>1354.4</v>
      </c>
      <c r="K291" s="135">
        <v>1342.7</v>
      </c>
      <c r="L291" s="604">
        <v>0</v>
      </c>
      <c r="M291" s="605">
        <f t="shared" si="21"/>
        <v>99.13614884819846</v>
      </c>
    </row>
    <row r="292" spans="1:13" ht="36">
      <c r="A292" s="134" t="s">
        <v>531</v>
      </c>
      <c r="B292" s="184" t="s">
        <v>780</v>
      </c>
      <c r="C292" s="124" t="s">
        <v>815</v>
      </c>
      <c r="D292" s="124" t="s">
        <v>1594</v>
      </c>
      <c r="E292" s="124" t="s">
        <v>1350</v>
      </c>
      <c r="F292" s="124"/>
      <c r="G292" s="132">
        <f>G293+G305</f>
        <v>5000</v>
      </c>
      <c r="H292" s="132">
        <f>H293+H305</f>
        <v>24562.899999999998</v>
      </c>
      <c r="K292" s="132">
        <f>K293+K305</f>
        <v>22972.7</v>
      </c>
      <c r="L292" s="604">
        <f>K292/G292*100</f>
        <v>459.454</v>
      </c>
      <c r="M292" s="605">
        <f t="shared" si="21"/>
        <v>93.52600873675341</v>
      </c>
    </row>
    <row r="293" spans="1:13" ht="24">
      <c r="A293" s="129" t="s">
        <v>752</v>
      </c>
      <c r="B293" s="184" t="s">
        <v>780</v>
      </c>
      <c r="C293" s="124" t="s">
        <v>815</v>
      </c>
      <c r="D293" s="124" t="s">
        <v>1594</v>
      </c>
      <c r="E293" s="124" t="s">
        <v>533</v>
      </c>
      <c r="F293" s="124" t="s">
        <v>751</v>
      </c>
      <c r="G293" s="132">
        <f>G294+G303</f>
        <v>5000</v>
      </c>
      <c r="H293" s="132">
        <f>H294+H303</f>
        <v>24497.899999999998</v>
      </c>
      <c r="K293" s="132">
        <f>K294+K303</f>
        <v>22907.7</v>
      </c>
      <c r="L293" s="604">
        <f>K293/G293*100</f>
        <v>458.15400000000005</v>
      </c>
      <c r="M293" s="605">
        <f t="shared" si="21"/>
        <v>93.50883136921941</v>
      </c>
    </row>
    <row r="294" spans="1:13" ht="24">
      <c r="A294" s="134" t="s">
        <v>18</v>
      </c>
      <c r="B294" s="184" t="s">
        <v>780</v>
      </c>
      <c r="C294" s="124" t="s">
        <v>815</v>
      </c>
      <c r="D294" s="124" t="s">
        <v>1594</v>
      </c>
      <c r="E294" s="124" t="s">
        <v>533</v>
      </c>
      <c r="F294" s="124" t="s">
        <v>1436</v>
      </c>
      <c r="G294" s="135">
        <f>G295+G296+G297+G298+G299+G300+G301+G302</f>
        <v>5000</v>
      </c>
      <c r="H294" s="135">
        <f>H295+H296+H297+H298+H299+H300+H301+H302</f>
        <v>23611.899999999998</v>
      </c>
      <c r="K294" s="135">
        <f>K295+K296+K297+K298+K299+K300+K301+K302</f>
        <v>22057.7</v>
      </c>
      <c r="L294" s="604">
        <f>K294/G294*100</f>
        <v>441.15400000000005</v>
      </c>
      <c r="M294" s="605">
        <f t="shared" si="21"/>
        <v>93.41772580774949</v>
      </c>
    </row>
    <row r="295" spans="1:13" ht="36">
      <c r="A295" s="134" t="s">
        <v>836</v>
      </c>
      <c r="B295" s="184" t="s">
        <v>780</v>
      </c>
      <c r="C295" s="124" t="s">
        <v>815</v>
      </c>
      <c r="D295" s="124" t="s">
        <v>1594</v>
      </c>
      <c r="E295" s="124" t="s">
        <v>533</v>
      </c>
      <c r="F295" s="124" t="s">
        <v>1436</v>
      </c>
      <c r="G295" s="135">
        <f>5000</f>
        <v>5000</v>
      </c>
      <c r="H295" s="135">
        <f>5000+10800+966.6</f>
        <v>16766.6</v>
      </c>
      <c r="K295" s="135">
        <v>16203.6</v>
      </c>
      <c r="L295" s="604">
        <f>K295/G295*100</f>
        <v>324.072</v>
      </c>
      <c r="M295" s="605">
        <f t="shared" si="21"/>
        <v>96.64213376593945</v>
      </c>
    </row>
    <row r="296" spans="1:13" ht="36">
      <c r="A296" s="134" t="s">
        <v>1542</v>
      </c>
      <c r="B296" s="184" t="s">
        <v>780</v>
      </c>
      <c r="C296" s="124" t="s">
        <v>815</v>
      </c>
      <c r="D296" s="124" t="s">
        <v>1594</v>
      </c>
      <c r="E296" s="124" t="s">
        <v>533</v>
      </c>
      <c r="F296" s="124" t="s">
        <v>1436</v>
      </c>
      <c r="G296" s="135">
        <v>0</v>
      </c>
      <c r="H296" s="135">
        <v>4000</v>
      </c>
      <c r="K296" s="135">
        <v>3247.6</v>
      </c>
      <c r="L296" s="604">
        <v>0</v>
      </c>
      <c r="M296" s="605">
        <f t="shared" si="21"/>
        <v>81.19</v>
      </c>
    </row>
    <row r="297" spans="1:13" ht="36">
      <c r="A297" s="134" t="s">
        <v>401</v>
      </c>
      <c r="B297" s="184" t="s">
        <v>780</v>
      </c>
      <c r="C297" s="124" t="s">
        <v>815</v>
      </c>
      <c r="D297" s="124" t="s">
        <v>1594</v>
      </c>
      <c r="E297" s="124" t="s">
        <v>533</v>
      </c>
      <c r="F297" s="124" t="s">
        <v>1436</v>
      </c>
      <c r="G297" s="135">
        <v>0</v>
      </c>
      <c r="H297" s="135">
        <v>250.3</v>
      </c>
      <c r="K297" s="135">
        <v>200</v>
      </c>
      <c r="L297" s="604">
        <v>0</v>
      </c>
      <c r="M297" s="605">
        <f t="shared" si="21"/>
        <v>79.90411506192568</v>
      </c>
    </row>
    <row r="298" spans="1:13" ht="27" customHeight="1">
      <c r="A298" s="134" t="s">
        <v>402</v>
      </c>
      <c r="B298" s="184" t="s">
        <v>780</v>
      </c>
      <c r="C298" s="124" t="s">
        <v>815</v>
      </c>
      <c r="D298" s="124" t="s">
        <v>1594</v>
      </c>
      <c r="E298" s="124" t="s">
        <v>533</v>
      </c>
      <c r="F298" s="124" t="s">
        <v>1436</v>
      </c>
      <c r="G298" s="135">
        <v>0</v>
      </c>
      <c r="H298" s="135">
        <v>260</v>
      </c>
      <c r="K298" s="135">
        <v>260</v>
      </c>
      <c r="L298" s="604">
        <v>0</v>
      </c>
      <c r="M298" s="605">
        <f t="shared" si="21"/>
        <v>100</v>
      </c>
    </row>
    <row r="299" spans="1:13" ht="48">
      <c r="A299" s="134" t="s">
        <v>403</v>
      </c>
      <c r="B299" s="184" t="s">
        <v>780</v>
      </c>
      <c r="C299" s="124" t="s">
        <v>815</v>
      </c>
      <c r="D299" s="124" t="s">
        <v>1594</v>
      </c>
      <c r="E299" s="124" t="s">
        <v>533</v>
      </c>
      <c r="F299" s="124" t="s">
        <v>1436</v>
      </c>
      <c r="G299" s="135">
        <f>3568.8-3568.8</f>
        <v>0</v>
      </c>
      <c r="H299" s="135">
        <f>3568.8-3568.8</f>
        <v>0</v>
      </c>
      <c r="K299" s="135">
        <f>3568.8-3568.8</f>
        <v>0</v>
      </c>
      <c r="L299" s="604">
        <v>0</v>
      </c>
      <c r="M299" s="604">
        <v>0</v>
      </c>
    </row>
    <row r="300" spans="1:13" ht="24">
      <c r="A300" s="165" t="s">
        <v>404</v>
      </c>
      <c r="B300" s="184" t="s">
        <v>780</v>
      </c>
      <c r="C300" s="166" t="s">
        <v>815</v>
      </c>
      <c r="D300" s="166" t="s">
        <v>1594</v>
      </c>
      <c r="E300" s="166" t="s">
        <v>533</v>
      </c>
      <c r="F300" s="166" t="s">
        <v>1436</v>
      </c>
      <c r="G300" s="167">
        <v>0</v>
      </c>
      <c r="H300" s="167">
        <f>300-20</f>
        <v>280</v>
      </c>
      <c r="K300" s="167">
        <f>300-20</f>
        <v>280</v>
      </c>
      <c r="L300" s="604">
        <v>0</v>
      </c>
      <c r="M300" s="605">
        <f t="shared" si="21"/>
        <v>100</v>
      </c>
    </row>
    <row r="301" spans="1:13" ht="36">
      <c r="A301" s="165" t="s">
        <v>869</v>
      </c>
      <c r="B301" s="184" t="s">
        <v>780</v>
      </c>
      <c r="C301" s="166" t="s">
        <v>815</v>
      </c>
      <c r="D301" s="166" t="s">
        <v>1594</v>
      </c>
      <c r="E301" s="166" t="s">
        <v>533</v>
      </c>
      <c r="F301" s="166" t="s">
        <v>1436</v>
      </c>
      <c r="G301" s="167">
        <v>0</v>
      </c>
      <c r="H301" s="167">
        <v>1575</v>
      </c>
      <c r="K301" s="167">
        <v>1493.5</v>
      </c>
      <c r="L301" s="604">
        <v>0</v>
      </c>
      <c r="M301" s="605">
        <f t="shared" si="21"/>
        <v>94.82539682539682</v>
      </c>
    </row>
    <row r="302" spans="1:13" ht="24">
      <c r="A302" s="165" t="s">
        <v>1306</v>
      </c>
      <c r="B302" s="184" t="s">
        <v>780</v>
      </c>
      <c r="C302" s="166" t="s">
        <v>815</v>
      </c>
      <c r="D302" s="166" t="s">
        <v>1594</v>
      </c>
      <c r="E302" s="166" t="s">
        <v>533</v>
      </c>
      <c r="F302" s="166" t="s">
        <v>1436</v>
      </c>
      <c r="G302" s="167">
        <v>0</v>
      </c>
      <c r="H302" s="167">
        <v>480</v>
      </c>
      <c r="K302" s="167">
        <v>373</v>
      </c>
      <c r="L302" s="604">
        <v>0</v>
      </c>
      <c r="M302" s="605">
        <f t="shared" si="21"/>
        <v>77.70833333333333</v>
      </c>
    </row>
    <row r="303" spans="1:13" ht="24">
      <c r="A303" s="134" t="s">
        <v>1687</v>
      </c>
      <c r="B303" s="184" t="s">
        <v>780</v>
      </c>
      <c r="C303" s="166" t="s">
        <v>815</v>
      </c>
      <c r="D303" s="166" t="s">
        <v>1594</v>
      </c>
      <c r="E303" s="166" t="s">
        <v>533</v>
      </c>
      <c r="F303" s="166" t="s">
        <v>751</v>
      </c>
      <c r="G303" s="171">
        <f>G304</f>
        <v>0</v>
      </c>
      <c r="H303" s="171">
        <f>H304</f>
        <v>886</v>
      </c>
      <c r="K303" s="171">
        <f>K304</f>
        <v>850</v>
      </c>
      <c r="L303" s="604">
        <v>0</v>
      </c>
      <c r="M303" s="605">
        <f t="shared" si="21"/>
        <v>95.93679458239278</v>
      </c>
    </row>
    <row r="304" spans="1:13" ht="24">
      <c r="A304" s="134" t="s">
        <v>870</v>
      </c>
      <c r="B304" s="184" t="s">
        <v>780</v>
      </c>
      <c r="C304" s="166" t="s">
        <v>815</v>
      </c>
      <c r="D304" s="166" t="s">
        <v>1594</v>
      </c>
      <c r="E304" s="166" t="s">
        <v>533</v>
      </c>
      <c r="F304" s="166" t="s">
        <v>1502</v>
      </c>
      <c r="G304" s="167">
        <v>0</v>
      </c>
      <c r="H304" s="167">
        <v>886</v>
      </c>
      <c r="K304" s="167">
        <v>850</v>
      </c>
      <c r="L304" s="604">
        <v>0</v>
      </c>
      <c r="M304" s="605">
        <f t="shared" si="21"/>
        <v>95.93679458239278</v>
      </c>
    </row>
    <row r="305" spans="1:13" ht="24">
      <c r="A305" s="129" t="s">
        <v>752</v>
      </c>
      <c r="B305" s="184" t="s">
        <v>780</v>
      </c>
      <c r="C305" s="124" t="s">
        <v>815</v>
      </c>
      <c r="D305" s="124" t="s">
        <v>1594</v>
      </c>
      <c r="E305" s="124" t="s">
        <v>405</v>
      </c>
      <c r="F305" s="124" t="s">
        <v>751</v>
      </c>
      <c r="G305" s="132">
        <f>G306</f>
        <v>0</v>
      </c>
      <c r="H305" s="132">
        <f>H306</f>
        <v>65</v>
      </c>
      <c r="K305" s="132">
        <f>K306</f>
        <v>65</v>
      </c>
      <c r="L305" s="604">
        <v>0</v>
      </c>
      <c r="M305" s="605">
        <f t="shared" si="21"/>
        <v>100</v>
      </c>
    </row>
    <row r="306" spans="1:13" ht="27" customHeight="1">
      <c r="A306" s="134" t="s">
        <v>406</v>
      </c>
      <c r="B306" s="184" t="s">
        <v>780</v>
      </c>
      <c r="C306" s="124" t="s">
        <v>815</v>
      </c>
      <c r="D306" s="124" t="s">
        <v>1594</v>
      </c>
      <c r="E306" s="124" t="s">
        <v>405</v>
      </c>
      <c r="F306" s="124" t="s">
        <v>1436</v>
      </c>
      <c r="G306" s="135">
        <v>0</v>
      </c>
      <c r="H306" s="135">
        <v>65</v>
      </c>
      <c r="K306" s="135">
        <v>65</v>
      </c>
      <c r="L306" s="604">
        <v>0</v>
      </c>
      <c r="M306" s="605">
        <f t="shared" si="21"/>
        <v>100</v>
      </c>
    </row>
    <row r="307" spans="1:13" ht="27" customHeight="1">
      <c r="A307" s="141" t="s">
        <v>711</v>
      </c>
      <c r="B307" s="184" t="s">
        <v>780</v>
      </c>
      <c r="C307" s="124" t="s">
        <v>815</v>
      </c>
      <c r="D307" s="124" t="s">
        <v>1594</v>
      </c>
      <c r="E307" s="124" t="s">
        <v>1589</v>
      </c>
      <c r="F307" s="124"/>
      <c r="G307" s="132">
        <f>G308</f>
        <v>0</v>
      </c>
      <c r="H307" s="132">
        <f>H308</f>
        <v>11559.1</v>
      </c>
      <c r="K307" s="132">
        <f>K308</f>
        <v>11555.5</v>
      </c>
      <c r="L307" s="604">
        <v>0</v>
      </c>
      <c r="M307" s="605">
        <f t="shared" si="21"/>
        <v>99.96885570675917</v>
      </c>
    </row>
    <row r="308" spans="1:13" ht="27" customHeight="1">
      <c r="A308" s="129" t="s">
        <v>685</v>
      </c>
      <c r="B308" s="184" t="s">
        <v>780</v>
      </c>
      <c r="C308" s="124" t="s">
        <v>815</v>
      </c>
      <c r="D308" s="124" t="s">
        <v>1594</v>
      </c>
      <c r="E308" s="124" t="s">
        <v>1485</v>
      </c>
      <c r="F308" s="124"/>
      <c r="G308" s="132">
        <f>G309+G313+G316</f>
        <v>0</v>
      </c>
      <c r="H308" s="132">
        <f>H309+H313+H316</f>
        <v>11559.1</v>
      </c>
      <c r="K308" s="132">
        <f>K309+K313+K316</f>
        <v>11555.5</v>
      </c>
      <c r="L308" s="604">
        <v>0</v>
      </c>
      <c r="M308" s="605">
        <f t="shared" si="21"/>
        <v>99.96885570675917</v>
      </c>
    </row>
    <row r="309" spans="1:13" ht="60">
      <c r="A309" s="134" t="s">
        <v>871</v>
      </c>
      <c r="B309" s="184" t="s">
        <v>780</v>
      </c>
      <c r="C309" s="124" t="s">
        <v>815</v>
      </c>
      <c r="D309" s="124" t="s">
        <v>1594</v>
      </c>
      <c r="E309" s="124" t="s">
        <v>604</v>
      </c>
      <c r="F309" s="124"/>
      <c r="G309" s="132">
        <f aca="true" t="shared" si="22" ref="G309:H311">G310</f>
        <v>0</v>
      </c>
      <c r="H309" s="132">
        <f t="shared" si="22"/>
        <v>2370.2</v>
      </c>
      <c r="K309" s="132">
        <f>K310</f>
        <v>2370</v>
      </c>
      <c r="L309" s="604">
        <v>0</v>
      </c>
      <c r="M309" s="605">
        <f t="shared" si="21"/>
        <v>99.9915618935111</v>
      </c>
    </row>
    <row r="310" spans="1:13" ht="27" customHeight="1">
      <c r="A310" s="129" t="s">
        <v>752</v>
      </c>
      <c r="B310" s="184" t="s">
        <v>780</v>
      </c>
      <c r="C310" s="124" t="s">
        <v>815</v>
      </c>
      <c r="D310" s="124" t="s">
        <v>1594</v>
      </c>
      <c r="E310" s="124" t="s">
        <v>604</v>
      </c>
      <c r="F310" s="124" t="s">
        <v>751</v>
      </c>
      <c r="G310" s="132">
        <f t="shared" si="22"/>
        <v>0</v>
      </c>
      <c r="H310" s="132">
        <f t="shared" si="22"/>
        <v>2370.2</v>
      </c>
      <c r="K310" s="132">
        <f>K311</f>
        <v>2370</v>
      </c>
      <c r="L310" s="604">
        <v>0</v>
      </c>
      <c r="M310" s="605">
        <f t="shared" si="21"/>
        <v>99.9915618935111</v>
      </c>
    </row>
    <row r="311" spans="1:13" ht="27" customHeight="1">
      <c r="A311" s="134" t="s">
        <v>1212</v>
      </c>
      <c r="B311" s="184" t="s">
        <v>780</v>
      </c>
      <c r="C311" s="124" t="s">
        <v>815</v>
      </c>
      <c r="D311" s="124" t="s">
        <v>1594</v>
      </c>
      <c r="E311" s="124" t="s">
        <v>604</v>
      </c>
      <c r="F311" s="124" t="s">
        <v>1436</v>
      </c>
      <c r="G311" s="135">
        <f t="shared" si="22"/>
        <v>0</v>
      </c>
      <c r="H311" s="135">
        <f t="shared" si="22"/>
        <v>2370.2</v>
      </c>
      <c r="K311" s="135">
        <f>K312</f>
        <v>2370</v>
      </c>
      <c r="L311" s="604">
        <v>0</v>
      </c>
      <c r="M311" s="605">
        <f t="shared" si="21"/>
        <v>99.9915618935111</v>
      </c>
    </row>
    <row r="312" spans="1:13" ht="27" customHeight="1">
      <c r="A312" s="134" t="s">
        <v>1543</v>
      </c>
      <c r="B312" s="184" t="s">
        <v>780</v>
      </c>
      <c r="C312" s="124" t="s">
        <v>815</v>
      </c>
      <c r="D312" s="124" t="s">
        <v>1594</v>
      </c>
      <c r="E312" s="124" t="s">
        <v>604</v>
      </c>
      <c r="F312" s="124" t="s">
        <v>1436</v>
      </c>
      <c r="G312" s="135">
        <v>0</v>
      </c>
      <c r="H312" s="135">
        <f>1770+600+0.2</f>
        <v>2370.2</v>
      </c>
      <c r="K312" s="135">
        <f>1770+600</f>
        <v>2370</v>
      </c>
      <c r="L312" s="604">
        <v>0</v>
      </c>
      <c r="M312" s="605">
        <f t="shared" si="21"/>
        <v>99.9915618935111</v>
      </c>
    </row>
    <row r="313" spans="1:13" ht="27" customHeight="1">
      <c r="A313" s="129" t="s">
        <v>752</v>
      </c>
      <c r="B313" s="184" t="s">
        <v>780</v>
      </c>
      <c r="C313" s="124" t="s">
        <v>815</v>
      </c>
      <c r="D313" s="124" t="s">
        <v>1594</v>
      </c>
      <c r="E313" s="124" t="s">
        <v>872</v>
      </c>
      <c r="F313" s="124" t="s">
        <v>751</v>
      </c>
      <c r="G313" s="132">
        <f>G314</f>
        <v>0</v>
      </c>
      <c r="H313" s="132">
        <f>H314</f>
        <v>3658.6000000000004</v>
      </c>
      <c r="K313" s="132">
        <f>K314</f>
        <v>3655.5</v>
      </c>
      <c r="L313" s="604">
        <v>0</v>
      </c>
      <c r="M313" s="605">
        <f t="shared" si="21"/>
        <v>99.9152681353523</v>
      </c>
    </row>
    <row r="314" spans="1:13" ht="27" customHeight="1">
      <c r="A314" s="134" t="s">
        <v>753</v>
      </c>
      <c r="B314" s="184" t="s">
        <v>780</v>
      </c>
      <c r="C314" s="124" t="s">
        <v>815</v>
      </c>
      <c r="D314" s="124" t="s">
        <v>1594</v>
      </c>
      <c r="E314" s="124" t="s">
        <v>872</v>
      </c>
      <c r="F314" s="124" t="s">
        <v>1436</v>
      </c>
      <c r="G314" s="132">
        <f>G315</f>
        <v>0</v>
      </c>
      <c r="H314" s="132">
        <f>H315</f>
        <v>3658.6000000000004</v>
      </c>
      <c r="K314" s="132">
        <f>K315</f>
        <v>3655.5</v>
      </c>
      <c r="L314" s="604">
        <v>0</v>
      </c>
      <c r="M314" s="605">
        <f t="shared" si="21"/>
        <v>99.9152681353523</v>
      </c>
    </row>
    <row r="315" spans="1:13" ht="46.5" customHeight="1">
      <c r="A315" s="134" t="s">
        <v>1479</v>
      </c>
      <c r="B315" s="184" t="s">
        <v>780</v>
      </c>
      <c r="C315" s="124" t="s">
        <v>815</v>
      </c>
      <c r="D315" s="124" t="s">
        <v>1594</v>
      </c>
      <c r="E315" s="124" t="s">
        <v>872</v>
      </c>
      <c r="F315" s="124" t="s">
        <v>1436</v>
      </c>
      <c r="G315" s="135">
        <v>0</v>
      </c>
      <c r="H315" s="135">
        <f>2968.8-0.2+690</f>
        <v>3658.6000000000004</v>
      </c>
      <c r="K315" s="135">
        <v>3655.5</v>
      </c>
      <c r="L315" s="604">
        <v>0</v>
      </c>
      <c r="M315" s="605">
        <f t="shared" si="21"/>
        <v>99.9152681353523</v>
      </c>
    </row>
    <row r="316" spans="1:13" ht="24">
      <c r="A316" s="134" t="s">
        <v>1474</v>
      </c>
      <c r="B316" s="184" t="s">
        <v>780</v>
      </c>
      <c r="C316" s="124" t="s">
        <v>815</v>
      </c>
      <c r="D316" s="124" t="s">
        <v>1594</v>
      </c>
      <c r="E316" s="124" t="s">
        <v>1475</v>
      </c>
      <c r="F316" s="124"/>
      <c r="G316" s="132">
        <f aca="true" t="shared" si="23" ref="G316:H318">G317</f>
        <v>0</v>
      </c>
      <c r="H316" s="132">
        <f t="shared" si="23"/>
        <v>5530.3</v>
      </c>
      <c r="K316" s="132">
        <f>K317</f>
        <v>5530</v>
      </c>
      <c r="L316" s="604">
        <v>0</v>
      </c>
      <c r="M316" s="605">
        <f t="shared" si="21"/>
        <v>99.99457533949332</v>
      </c>
    </row>
    <row r="317" spans="1:13" ht="24">
      <c r="A317" s="129" t="s">
        <v>752</v>
      </c>
      <c r="B317" s="184" t="s">
        <v>780</v>
      </c>
      <c r="C317" s="124" t="s">
        <v>815</v>
      </c>
      <c r="D317" s="124" t="s">
        <v>1594</v>
      </c>
      <c r="E317" s="124" t="s">
        <v>1475</v>
      </c>
      <c r="F317" s="124" t="s">
        <v>751</v>
      </c>
      <c r="G317" s="132">
        <f t="shared" si="23"/>
        <v>0</v>
      </c>
      <c r="H317" s="132">
        <f t="shared" si="23"/>
        <v>5530.3</v>
      </c>
      <c r="K317" s="132">
        <f>K318</f>
        <v>5530</v>
      </c>
      <c r="L317" s="604">
        <v>0</v>
      </c>
      <c r="M317" s="605">
        <f t="shared" si="21"/>
        <v>99.99457533949332</v>
      </c>
    </row>
    <row r="318" spans="1:13" ht="24">
      <c r="A318" s="134" t="s">
        <v>753</v>
      </c>
      <c r="B318" s="184" t="s">
        <v>780</v>
      </c>
      <c r="C318" s="124" t="s">
        <v>815</v>
      </c>
      <c r="D318" s="124" t="s">
        <v>1594</v>
      </c>
      <c r="E318" s="124" t="s">
        <v>1475</v>
      </c>
      <c r="F318" s="124" t="s">
        <v>1436</v>
      </c>
      <c r="G318" s="132">
        <f t="shared" si="23"/>
        <v>0</v>
      </c>
      <c r="H318" s="132">
        <f t="shared" si="23"/>
        <v>5530.3</v>
      </c>
      <c r="K318" s="132">
        <f>K319</f>
        <v>5530</v>
      </c>
      <c r="L318" s="604">
        <v>0</v>
      </c>
      <c r="M318" s="605">
        <f t="shared" si="21"/>
        <v>99.99457533949332</v>
      </c>
    </row>
    <row r="319" spans="1:13" ht="24">
      <c r="A319" s="134" t="s">
        <v>1543</v>
      </c>
      <c r="B319" s="184" t="s">
        <v>780</v>
      </c>
      <c r="C319" s="124" t="s">
        <v>815</v>
      </c>
      <c r="D319" s="124" t="s">
        <v>1594</v>
      </c>
      <c r="E319" s="124" t="s">
        <v>1475</v>
      </c>
      <c r="F319" s="124" t="s">
        <v>1436</v>
      </c>
      <c r="G319" s="135">
        <v>0</v>
      </c>
      <c r="H319" s="135">
        <v>5530.3</v>
      </c>
      <c r="K319" s="135">
        <v>5530</v>
      </c>
      <c r="L319" s="604">
        <v>0</v>
      </c>
      <c r="M319" s="605">
        <f t="shared" si="21"/>
        <v>99.99457533949332</v>
      </c>
    </row>
    <row r="320" spans="1:13" ht="33.75" customHeight="1">
      <c r="A320" s="137" t="s">
        <v>1455</v>
      </c>
      <c r="B320" s="184" t="s">
        <v>780</v>
      </c>
      <c r="C320" s="124" t="s">
        <v>815</v>
      </c>
      <c r="D320" s="124" t="s">
        <v>1594</v>
      </c>
      <c r="E320" s="124" t="s">
        <v>1241</v>
      </c>
      <c r="F320" s="124"/>
      <c r="G320" s="132">
        <f aca="true" t="shared" si="24" ref="G320:H322">G321</f>
        <v>0</v>
      </c>
      <c r="H320" s="132">
        <f t="shared" si="24"/>
        <v>833</v>
      </c>
      <c r="K320" s="132">
        <f>K321</f>
        <v>833</v>
      </c>
      <c r="L320" s="604">
        <v>0</v>
      </c>
      <c r="M320" s="605">
        <f t="shared" si="21"/>
        <v>100</v>
      </c>
    </row>
    <row r="321" spans="1:13" ht="31.5" customHeight="1">
      <c r="A321" s="14" t="s">
        <v>734</v>
      </c>
      <c r="B321" s="184" t="s">
        <v>780</v>
      </c>
      <c r="C321" s="124" t="s">
        <v>815</v>
      </c>
      <c r="D321" s="124" t="s">
        <v>1594</v>
      </c>
      <c r="E321" s="124" t="s">
        <v>735</v>
      </c>
      <c r="F321" s="124"/>
      <c r="G321" s="132">
        <f t="shared" si="24"/>
        <v>0</v>
      </c>
      <c r="H321" s="132">
        <f t="shared" si="24"/>
        <v>833</v>
      </c>
      <c r="K321" s="132">
        <f>K322</f>
        <v>833</v>
      </c>
      <c r="L321" s="604">
        <v>0</v>
      </c>
      <c r="M321" s="605">
        <f t="shared" si="21"/>
        <v>100</v>
      </c>
    </row>
    <row r="322" spans="1:13" ht="32.25" customHeight="1">
      <c r="A322" s="129" t="s">
        <v>752</v>
      </c>
      <c r="B322" s="184" t="s">
        <v>780</v>
      </c>
      <c r="C322" s="124" t="s">
        <v>815</v>
      </c>
      <c r="D322" s="124" t="s">
        <v>1594</v>
      </c>
      <c r="E322" s="124" t="s">
        <v>736</v>
      </c>
      <c r="F322" s="124" t="s">
        <v>751</v>
      </c>
      <c r="G322" s="132">
        <f t="shared" si="24"/>
        <v>0</v>
      </c>
      <c r="H322" s="132">
        <f t="shared" si="24"/>
        <v>833</v>
      </c>
      <c r="K322" s="132">
        <f>K323</f>
        <v>833</v>
      </c>
      <c r="L322" s="604">
        <v>0</v>
      </c>
      <c r="M322" s="605">
        <f t="shared" si="21"/>
        <v>100</v>
      </c>
    </row>
    <row r="323" spans="1:13" ht="24" customHeight="1">
      <c r="A323" s="134" t="s">
        <v>753</v>
      </c>
      <c r="B323" s="184" t="s">
        <v>780</v>
      </c>
      <c r="C323" s="124" t="s">
        <v>815</v>
      </c>
      <c r="D323" s="124" t="s">
        <v>1594</v>
      </c>
      <c r="E323" s="124" t="s">
        <v>736</v>
      </c>
      <c r="F323" s="124" t="s">
        <v>751</v>
      </c>
      <c r="G323" s="132">
        <f>G324+G325</f>
        <v>0</v>
      </c>
      <c r="H323" s="132">
        <f>H324+H325</f>
        <v>833</v>
      </c>
      <c r="K323" s="132">
        <f>K324+K325</f>
        <v>833</v>
      </c>
      <c r="L323" s="604">
        <v>0</v>
      </c>
      <c r="M323" s="605">
        <f t="shared" si="21"/>
        <v>100</v>
      </c>
    </row>
    <row r="324" spans="1:13" ht="33" customHeight="1">
      <c r="A324" s="134" t="s">
        <v>1480</v>
      </c>
      <c r="B324" s="184" t="s">
        <v>780</v>
      </c>
      <c r="C324" s="124" t="s">
        <v>815</v>
      </c>
      <c r="D324" s="124" t="s">
        <v>1594</v>
      </c>
      <c r="E324" s="124" t="s">
        <v>736</v>
      </c>
      <c r="F324" s="124" t="s">
        <v>1436</v>
      </c>
      <c r="G324" s="135">
        <v>0</v>
      </c>
      <c r="H324" s="135">
        <v>533</v>
      </c>
      <c r="K324" s="135">
        <v>533</v>
      </c>
      <c r="L324" s="604">
        <v>0</v>
      </c>
      <c r="M324" s="605">
        <f t="shared" si="21"/>
        <v>100</v>
      </c>
    </row>
    <row r="325" spans="1:13" ht="33" customHeight="1">
      <c r="A325" s="134" t="s">
        <v>1481</v>
      </c>
      <c r="B325" s="184" t="s">
        <v>780</v>
      </c>
      <c r="C325" s="124" t="s">
        <v>815</v>
      </c>
      <c r="D325" s="124" t="s">
        <v>1594</v>
      </c>
      <c r="E325" s="124" t="s">
        <v>736</v>
      </c>
      <c r="F325" s="124" t="s">
        <v>1436</v>
      </c>
      <c r="G325" s="135">
        <v>0</v>
      </c>
      <c r="H325" s="135">
        <v>300</v>
      </c>
      <c r="K325" s="135">
        <v>300</v>
      </c>
      <c r="L325" s="604">
        <v>0</v>
      </c>
      <c r="M325" s="605">
        <f t="shared" si="21"/>
        <v>100</v>
      </c>
    </row>
    <row r="326" spans="1:13" ht="27" customHeight="1">
      <c r="A326" s="130" t="s">
        <v>1052</v>
      </c>
      <c r="B326" s="184" t="s">
        <v>780</v>
      </c>
      <c r="C326" s="124" t="s">
        <v>407</v>
      </c>
      <c r="D326" s="124" t="s">
        <v>1594</v>
      </c>
      <c r="E326" s="124" t="s">
        <v>1053</v>
      </c>
      <c r="F326" s="124"/>
      <c r="G326" s="132">
        <f>G327</f>
        <v>0</v>
      </c>
      <c r="H326" s="132">
        <f>H327</f>
        <v>5000</v>
      </c>
      <c r="K326" s="132">
        <f>K327</f>
        <v>4013.5</v>
      </c>
      <c r="L326" s="604">
        <v>0</v>
      </c>
      <c r="M326" s="605">
        <f t="shared" si="21"/>
        <v>80.27</v>
      </c>
    </row>
    <row r="327" spans="1:13" ht="27" customHeight="1">
      <c r="A327" s="129" t="s">
        <v>752</v>
      </c>
      <c r="B327" s="184" t="s">
        <v>780</v>
      </c>
      <c r="C327" s="124" t="s">
        <v>815</v>
      </c>
      <c r="D327" s="124" t="s">
        <v>1594</v>
      </c>
      <c r="E327" s="124" t="s">
        <v>1053</v>
      </c>
      <c r="F327" s="124" t="s">
        <v>751</v>
      </c>
      <c r="G327" s="132">
        <f>G328</f>
        <v>0</v>
      </c>
      <c r="H327" s="132">
        <f>H328</f>
        <v>5000</v>
      </c>
      <c r="K327" s="132">
        <f>K328</f>
        <v>4013.5</v>
      </c>
      <c r="L327" s="604">
        <v>0</v>
      </c>
      <c r="M327" s="605">
        <f t="shared" si="21"/>
        <v>80.27</v>
      </c>
    </row>
    <row r="328" spans="1:13" ht="27" customHeight="1">
      <c r="A328" s="134" t="s">
        <v>1212</v>
      </c>
      <c r="B328" s="184" t="s">
        <v>780</v>
      </c>
      <c r="C328" s="124" t="s">
        <v>815</v>
      </c>
      <c r="D328" s="124" t="s">
        <v>1594</v>
      </c>
      <c r="E328" s="124" t="s">
        <v>1053</v>
      </c>
      <c r="F328" s="124" t="s">
        <v>1436</v>
      </c>
      <c r="G328" s="135">
        <v>0</v>
      </c>
      <c r="H328" s="135">
        <v>5000</v>
      </c>
      <c r="K328" s="135">
        <v>4013.5</v>
      </c>
      <c r="L328" s="604">
        <v>0</v>
      </c>
      <c r="M328" s="605">
        <f t="shared" si="21"/>
        <v>80.27</v>
      </c>
    </row>
    <row r="329" spans="1:13" ht="15">
      <c r="A329" s="133" t="s">
        <v>152</v>
      </c>
      <c r="B329" s="184" t="s">
        <v>780</v>
      </c>
      <c r="C329" s="124" t="s">
        <v>815</v>
      </c>
      <c r="D329" s="124" t="s">
        <v>1064</v>
      </c>
      <c r="E329" s="124"/>
      <c r="F329" s="124"/>
      <c r="G329" s="132">
        <f>G330+G337+G342</f>
        <v>119233</v>
      </c>
      <c r="H329" s="132">
        <f>H330+H337+H342</f>
        <v>119087.40000000001</v>
      </c>
      <c r="K329" s="132">
        <f>K330+K337+K342</f>
        <v>116453.9</v>
      </c>
      <c r="L329" s="604">
        <f>K329/G329*100</f>
        <v>97.66918554427045</v>
      </c>
      <c r="M329" s="605">
        <f t="shared" si="21"/>
        <v>97.78859896177093</v>
      </c>
    </row>
    <row r="330" spans="1:13" ht="24">
      <c r="A330" s="160" t="s">
        <v>1451</v>
      </c>
      <c r="B330" s="184" t="s">
        <v>780</v>
      </c>
      <c r="C330" s="124" t="s">
        <v>815</v>
      </c>
      <c r="D330" s="124" t="s">
        <v>1064</v>
      </c>
      <c r="E330" s="124" t="s">
        <v>14</v>
      </c>
      <c r="F330" s="124"/>
      <c r="G330" s="132">
        <f>G331</f>
        <v>557</v>
      </c>
      <c r="H330" s="132">
        <f>H331</f>
        <v>306.8</v>
      </c>
      <c r="K330" s="132">
        <f>K331</f>
        <v>304.2</v>
      </c>
      <c r="L330" s="604">
        <f>K330/G330*100</f>
        <v>54.614003590664275</v>
      </c>
      <c r="M330" s="605">
        <f t="shared" si="21"/>
        <v>99.15254237288134</v>
      </c>
    </row>
    <row r="331" spans="1:13" ht="15">
      <c r="A331" s="172" t="s">
        <v>1334</v>
      </c>
      <c r="B331" s="184" t="s">
        <v>780</v>
      </c>
      <c r="C331" s="124" t="s">
        <v>815</v>
      </c>
      <c r="D331" s="124" t="s">
        <v>1064</v>
      </c>
      <c r="E331" s="124" t="s">
        <v>524</v>
      </c>
      <c r="F331" s="124"/>
      <c r="G331" s="132">
        <f>SUM(G332:G332)</f>
        <v>557</v>
      </c>
      <c r="H331" s="132">
        <f>SUM(H332:H332)</f>
        <v>306.8</v>
      </c>
      <c r="K331" s="132">
        <f>SUM(K332:K332)</f>
        <v>304.2</v>
      </c>
      <c r="L331" s="604">
        <f aca="true" t="shared" si="25" ref="L331:L394">K331/G331*100</f>
        <v>54.614003590664275</v>
      </c>
      <c r="M331" s="605">
        <f t="shared" si="21"/>
        <v>99.15254237288134</v>
      </c>
    </row>
    <row r="332" spans="1:13" ht="24">
      <c r="A332" s="134" t="s">
        <v>1335</v>
      </c>
      <c r="B332" s="184" t="s">
        <v>780</v>
      </c>
      <c r="C332" s="124" t="s">
        <v>815</v>
      </c>
      <c r="D332" s="124" t="s">
        <v>1064</v>
      </c>
      <c r="E332" s="124" t="s">
        <v>524</v>
      </c>
      <c r="F332" s="124"/>
      <c r="G332" s="132">
        <f>G333+G335</f>
        <v>557</v>
      </c>
      <c r="H332" s="132">
        <f>H333+H335</f>
        <v>306.8</v>
      </c>
      <c r="K332" s="132">
        <f>K333+K335</f>
        <v>304.2</v>
      </c>
      <c r="L332" s="604">
        <f t="shared" si="25"/>
        <v>54.614003590664275</v>
      </c>
      <c r="M332" s="605">
        <f t="shared" si="21"/>
        <v>99.15254237288134</v>
      </c>
    </row>
    <row r="333" spans="1:13" ht="24">
      <c r="A333" s="130" t="s">
        <v>1312</v>
      </c>
      <c r="B333" s="184" t="s">
        <v>780</v>
      </c>
      <c r="C333" s="124" t="s">
        <v>815</v>
      </c>
      <c r="D333" s="124" t="s">
        <v>1064</v>
      </c>
      <c r="E333" s="124" t="s">
        <v>524</v>
      </c>
      <c r="F333" s="124" t="s">
        <v>1704</v>
      </c>
      <c r="G333" s="132">
        <f>G334</f>
        <v>435</v>
      </c>
      <c r="H333" s="132">
        <f>H334</f>
        <v>235.3</v>
      </c>
      <c r="K333" s="132">
        <f>K334</f>
        <v>233.1</v>
      </c>
      <c r="L333" s="604">
        <f t="shared" si="25"/>
        <v>53.58620689655172</v>
      </c>
      <c r="M333" s="605">
        <f aca="true" t="shared" si="26" ref="M333:M396">K333/H333*100</f>
        <v>99.06502337441563</v>
      </c>
    </row>
    <row r="334" spans="1:13" ht="24">
      <c r="A334" s="130" t="s">
        <v>1406</v>
      </c>
      <c r="B334" s="184" t="s">
        <v>780</v>
      </c>
      <c r="C334" s="124" t="s">
        <v>815</v>
      </c>
      <c r="D334" s="124" t="s">
        <v>1064</v>
      </c>
      <c r="E334" s="124" t="s">
        <v>524</v>
      </c>
      <c r="F334" s="124" t="s">
        <v>1619</v>
      </c>
      <c r="G334" s="135">
        <f>435</f>
        <v>435</v>
      </c>
      <c r="H334" s="135">
        <f>435-200.7+1</f>
        <v>235.3</v>
      </c>
      <c r="K334" s="135">
        <v>233.1</v>
      </c>
      <c r="L334" s="604">
        <f t="shared" si="25"/>
        <v>53.58620689655172</v>
      </c>
      <c r="M334" s="605">
        <f t="shared" si="26"/>
        <v>99.06502337441563</v>
      </c>
    </row>
    <row r="335" spans="1:13" ht="18.75" customHeight="1">
      <c r="A335" s="130" t="s">
        <v>910</v>
      </c>
      <c r="B335" s="184" t="s">
        <v>780</v>
      </c>
      <c r="C335" s="124" t="s">
        <v>815</v>
      </c>
      <c r="D335" s="124" t="s">
        <v>1064</v>
      </c>
      <c r="E335" s="124" t="s">
        <v>524</v>
      </c>
      <c r="F335" s="124" t="s">
        <v>911</v>
      </c>
      <c r="G335" s="132">
        <f>G336</f>
        <v>122</v>
      </c>
      <c r="H335" s="132">
        <f>H336</f>
        <v>71.5</v>
      </c>
      <c r="K335" s="132">
        <f>K336</f>
        <v>71.1</v>
      </c>
      <c r="L335" s="604">
        <f t="shared" si="25"/>
        <v>58.27868852459016</v>
      </c>
      <c r="M335" s="605">
        <f t="shared" si="26"/>
        <v>99.44055944055943</v>
      </c>
    </row>
    <row r="336" spans="1:13" ht="16.5" customHeight="1">
      <c r="A336" s="130" t="s">
        <v>589</v>
      </c>
      <c r="B336" s="184" t="s">
        <v>780</v>
      </c>
      <c r="C336" s="124" t="s">
        <v>815</v>
      </c>
      <c r="D336" s="124" t="s">
        <v>1064</v>
      </c>
      <c r="E336" s="124" t="s">
        <v>524</v>
      </c>
      <c r="F336" s="124" t="s">
        <v>590</v>
      </c>
      <c r="G336" s="135">
        <f>122</f>
        <v>122</v>
      </c>
      <c r="H336" s="135">
        <f>122-63.4+10-0.1+3</f>
        <v>71.5</v>
      </c>
      <c r="K336" s="135">
        <v>71.1</v>
      </c>
      <c r="L336" s="604">
        <f t="shared" si="25"/>
        <v>58.27868852459016</v>
      </c>
      <c r="M336" s="605">
        <f t="shared" si="26"/>
        <v>99.44055944055943</v>
      </c>
    </row>
    <row r="337" spans="1:13" ht="36">
      <c r="A337" s="134" t="s">
        <v>531</v>
      </c>
      <c r="B337" s="184" t="s">
        <v>780</v>
      </c>
      <c r="C337" s="124" t="s">
        <v>815</v>
      </c>
      <c r="D337" s="124" t="s">
        <v>1064</v>
      </c>
      <c r="E337" s="124" t="s">
        <v>1350</v>
      </c>
      <c r="F337" s="124"/>
      <c r="G337" s="132">
        <f>G338</f>
        <v>3150</v>
      </c>
      <c r="H337" s="132">
        <f>H338</f>
        <v>120</v>
      </c>
      <c r="K337" s="132">
        <f>K338</f>
        <v>118.5</v>
      </c>
      <c r="L337" s="604">
        <f t="shared" si="25"/>
        <v>3.7619047619047623</v>
      </c>
      <c r="M337" s="605">
        <f t="shared" si="26"/>
        <v>98.75</v>
      </c>
    </row>
    <row r="338" spans="1:13" ht="24">
      <c r="A338" s="129" t="s">
        <v>752</v>
      </c>
      <c r="B338" s="184" t="s">
        <v>534</v>
      </c>
      <c r="C338" s="124" t="s">
        <v>815</v>
      </c>
      <c r="D338" s="124" t="s">
        <v>1064</v>
      </c>
      <c r="E338" s="124" t="s">
        <v>535</v>
      </c>
      <c r="F338" s="124" t="s">
        <v>751</v>
      </c>
      <c r="G338" s="132">
        <f>G339</f>
        <v>3150</v>
      </c>
      <c r="H338" s="132">
        <f>H339</f>
        <v>120</v>
      </c>
      <c r="K338" s="132">
        <f>K339</f>
        <v>118.5</v>
      </c>
      <c r="L338" s="604">
        <f t="shared" si="25"/>
        <v>3.7619047619047623</v>
      </c>
      <c r="M338" s="605">
        <f t="shared" si="26"/>
        <v>98.75</v>
      </c>
    </row>
    <row r="339" spans="1:13" ht="24">
      <c r="A339" s="134" t="s">
        <v>18</v>
      </c>
      <c r="B339" s="184" t="s">
        <v>780</v>
      </c>
      <c r="C339" s="124" t="s">
        <v>815</v>
      </c>
      <c r="D339" s="124" t="s">
        <v>1064</v>
      </c>
      <c r="E339" s="124" t="s">
        <v>535</v>
      </c>
      <c r="F339" s="124" t="s">
        <v>1436</v>
      </c>
      <c r="G339" s="135">
        <f>G340</f>
        <v>3150</v>
      </c>
      <c r="H339" s="135">
        <f>H341</f>
        <v>120</v>
      </c>
      <c r="K339" s="135">
        <f>K341</f>
        <v>118.5</v>
      </c>
      <c r="L339" s="604">
        <f t="shared" si="25"/>
        <v>3.7619047619047623</v>
      </c>
      <c r="M339" s="605">
        <f t="shared" si="26"/>
        <v>98.75</v>
      </c>
    </row>
    <row r="340" spans="1:13" ht="24">
      <c r="A340" s="134" t="s">
        <v>51</v>
      </c>
      <c r="B340" s="184" t="s">
        <v>780</v>
      </c>
      <c r="C340" s="124" t="s">
        <v>815</v>
      </c>
      <c r="D340" s="124" t="s">
        <v>1064</v>
      </c>
      <c r="E340" s="124" t="s">
        <v>535</v>
      </c>
      <c r="F340" s="124" t="s">
        <v>1436</v>
      </c>
      <c r="G340" s="135">
        <f>3150</f>
        <v>3150</v>
      </c>
      <c r="H340" s="135">
        <f>3150-3150</f>
        <v>0</v>
      </c>
      <c r="K340" s="135">
        <f>3150-3150</f>
        <v>0</v>
      </c>
      <c r="L340" s="604">
        <f t="shared" si="25"/>
        <v>0</v>
      </c>
      <c r="M340" s="604">
        <v>0</v>
      </c>
    </row>
    <row r="341" spans="1:13" ht="24">
      <c r="A341" s="134" t="s">
        <v>52</v>
      </c>
      <c r="B341" s="184" t="s">
        <v>780</v>
      </c>
      <c r="C341" s="124" t="s">
        <v>815</v>
      </c>
      <c r="D341" s="124" t="s">
        <v>1064</v>
      </c>
      <c r="E341" s="124" t="s">
        <v>535</v>
      </c>
      <c r="F341" s="124" t="s">
        <v>1436</v>
      </c>
      <c r="G341" s="135">
        <v>0</v>
      </c>
      <c r="H341" s="135">
        <f>50+70</f>
        <v>120</v>
      </c>
      <c r="K341" s="135">
        <v>118.5</v>
      </c>
      <c r="L341" s="604">
        <v>0</v>
      </c>
      <c r="M341" s="605">
        <f t="shared" si="26"/>
        <v>98.75</v>
      </c>
    </row>
    <row r="342" spans="1:13" ht="48">
      <c r="A342" s="129" t="s">
        <v>147</v>
      </c>
      <c r="B342" s="184" t="s">
        <v>780</v>
      </c>
      <c r="C342" s="124" t="s">
        <v>815</v>
      </c>
      <c r="D342" s="124" t="s">
        <v>1064</v>
      </c>
      <c r="E342" s="124" t="s">
        <v>1209</v>
      </c>
      <c r="F342" s="124"/>
      <c r="G342" s="132">
        <f>G343+G351</f>
        <v>115526</v>
      </c>
      <c r="H342" s="132">
        <f>H343+H351</f>
        <v>118660.6</v>
      </c>
      <c r="K342" s="132">
        <f>K343+K351</f>
        <v>116031.2</v>
      </c>
      <c r="L342" s="604">
        <f t="shared" si="25"/>
        <v>100.43730415664005</v>
      </c>
      <c r="M342" s="605">
        <f t="shared" si="26"/>
        <v>97.78410019838091</v>
      </c>
    </row>
    <row r="343" spans="1:13" ht="15">
      <c r="A343" s="134" t="s">
        <v>113</v>
      </c>
      <c r="B343" s="184" t="s">
        <v>780</v>
      </c>
      <c r="C343" s="124" t="s">
        <v>815</v>
      </c>
      <c r="D343" s="124" t="s">
        <v>1064</v>
      </c>
      <c r="E343" s="124" t="s">
        <v>525</v>
      </c>
      <c r="F343" s="124"/>
      <c r="G343" s="132">
        <f>G344+G346+G348</f>
        <v>15892</v>
      </c>
      <c r="H343" s="132">
        <f>H344+H346+H348</f>
        <v>13925</v>
      </c>
      <c r="K343" s="132">
        <f>K344+K346+K348</f>
        <v>12770.4</v>
      </c>
      <c r="L343" s="604">
        <f t="shared" si="25"/>
        <v>80.35741253460861</v>
      </c>
      <c r="M343" s="605">
        <f t="shared" si="26"/>
        <v>91.70843806104129</v>
      </c>
    </row>
    <row r="344" spans="1:13" ht="48">
      <c r="A344" s="130" t="s">
        <v>1311</v>
      </c>
      <c r="B344" s="184" t="s">
        <v>780</v>
      </c>
      <c r="C344" s="124" t="s">
        <v>815</v>
      </c>
      <c r="D344" s="124" t="s">
        <v>1064</v>
      </c>
      <c r="E344" s="124" t="s">
        <v>525</v>
      </c>
      <c r="F344" s="124" t="s">
        <v>1462</v>
      </c>
      <c r="G344" s="132">
        <f>G345</f>
        <v>14433</v>
      </c>
      <c r="H344" s="132">
        <f>H345</f>
        <v>12254</v>
      </c>
      <c r="K344" s="132">
        <f>K345</f>
        <v>11202</v>
      </c>
      <c r="L344" s="604">
        <f t="shared" si="25"/>
        <v>77.61380170442736</v>
      </c>
      <c r="M344" s="605">
        <f t="shared" si="26"/>
        <v>91.41504814754366</v>
      </c>
    </row>
    <row r="345" spans="1:13" ht="22.5" customHeight="1">
      <c r="A345" s="130" t="s">
        <v>1039</v>
      </c>
      <c r="B345" s="184" t="s">
        <v>780</v>
      </c>
      <c r="C345" s="124" t="s">
        <v>815</v>
      </c>
      <c r="D345" s="124" t="s">
        <v>1064</v>
      </c>
      <c r="E345" s="124" t="s">
        <v>525</v>
      </c>
      <c r="F345" s="124" t="s">
        <v>1432</v>
      </c>
      <c r="G345" s="135">
        <f>14433</f>
        <v>14433</v>
      </c>
      <c r="H345" s="135">
        <f>14433-35-90-98-3-1953</f>
        <v>12254</v>
      </c>
      <c r="K345" s="135">
        <v>11202</v>
      </c>
      <c r="L345" s="604">
        <f t="shared" si="25"/>
        <v>77.61380170442736</v>
      </c>
      <c r="M345" s="605">
        <f t="shared" si="26"/>
        <v>91.41504814754366</v>
      </c>
    </row>
    <row r="346" spans="1:13" ht="24">
      <c r="A346" s="130" t="s">
        <v>1312</v>
      </c>
      <c r="B346" s="184" t="s">
        <v>780</v>
      </c>
      <c r="C346" s="124" t="s">
        <v>815</v>
      </c>
      <c r="D346" s="124" t="s">
        <v>1064</v>
      </c>
      <c r="E346" s="124" t="s">
        <v>525</v>
      </c>
      <c r="F346" s="124" t="s">
        <v>1704</v>
      </c>
      <c r="G346" s="132">
        <f>G347</f>
        <v>1430</v>
      </c>
      <c r="H346" s="132">
        <f>H347</f>
        <v>1617</v>
      </c>
      <c r="K346" s="132">
        <f>K347</f>
        <v>1517.6</v>
      </c>
      <c r="L346" s="604">
        <f t="shared" si="25"/>
        <v>106.1258741258741</v>
      </c>
      <c r="M346" s="605">
        <f t="shared" si="26"/>
        <v>93.85281385281384</v>
      </c>
    </row>
    <row r="347" spans="1:13" ht="24">
      <c r="A347" s="130" t="s">
        <v>621</v>
      </c>
      <c r="B347" s="184" t="s">
        <v>780</v>
      </c>
      <c r="C347" s="124" t="s">
        <v>815</v>
      </c>
      <c r="D347" s="124" t="s">
        <v>1064</v>
      </c>
      <c r="E347" s="124" t="s">
        <v>525</v>
      </c>
      <c r="F347" s="124" t="s">
        <v>1619</v>
      </c>
      <c r="G347" s="135">
        <f>1430</f>
        <v>1430</v>
      </c>
      <c r="H347" s="135">
        <f>1430+90-1+98</f>
        <v>1617</v>
      </c>
      <c r="K347" s="135">
        <v>1517.6</v>
      </c>
      <c r="L347" s="604">
        <f t="shared" si="25"/>
        <v>106.1258741258741</v>
      </c>
      <c r="M347" s="605">
        <f t="shared" si="26"/>
        <v>93.85281385281384</v>
      </c>
    </row>
    <row r="348" spans="1:13" ht="15">
      <c r="A348" s="136" t="s">
        <v>655</v>
      </c>
      <c r="B348" s="184" t="s">
        <v>780</v>
      </c>
      <c r="C348" s="124" t="s">
        <v>815</v>
      </c>
      <c r="D348" s="124" t="s">
        <v>1064</v>
      </c>
      <c r="E348" s="124" t="s">
        <v>525</v>
      </c>
      <c r="F348" s="124"/>
      <c r="G348" s="132">
        <f>G349</f>
        <v>29</v>
      </c>
      <c r="H348" s="132">
        <f>H349</f>
        <v>54</v>
      </c>
      <c r="K348" s="132">
        <f>K349</f>
        <v>50.8</v>
      </c>
      <c r="L348" s="604">
        <f t="shared" si="25"/>
        <v>175.17241379310343</v>
      </c>
      <c r="M348" s="605">
        <f t="shared" si="26"/>
        <v>94.07407407407406</v>
      </c>
    </row>
    <row r="349" spans="1:13" ht="20.25" customHeight="1">
      <c r="A349" s="130" t="s">
        <v>910</v>
      </c>
      <c r="B349" s="184" t="s">
        <v>780</v>
      </c>
      <c r="C349" s="124" t="s">
        <v>815</v>
      </c>
      <c r="D349" s="124" t="s">
        <v>1064</v>
      </c>
      <c r="E349" s="124" t="s">
        <v>525</v>
      </c>
      <c r="F349" s="124" t="s">
        <v>911</v>
      </c>
      <c r="G349" s="132">
        <f>G350</f>
        <v>29</v>
      </c>
      <c r="H349" s="132">
        <f>H350</f>
        <v>54</v>
      </c>
      <c r="K349" s="132">
        <f>K350</f>
        <v>50.8</v>
      </c>
      <c r="L349" s="604">
        <f t="shared" si="25"/>
        <v>175.17241379310343</v>
      </c>
      <c r="M349" s="605">
        <f t="shared" si="26"/>
        <v>94.07407407407406</v>
      </c>
    </row>
    <row r="350" spans="1:13" ht="21.75" customHeight="1">
      <c r="A350" s="130" t="s">
        <v>589</v>
      </c>
      <c r="B350" s="184" t="s">
        <v>780</v>
      </c>
      <c r="C350" s="124" t="s">
        <v>815</v>
      </c>
      <c r="D350" s="124" t="s">
        <v>1064</v>
      </c>
      <c r="E350" s="124" t="s">
        <v>525</v>
      </c>
      <c r="F350" s="124" t="s">
        <v>590</v>
      </c>
      <c r="G350" s="135">
        <f>29</f>
        <v>29</v>
      </c>
      <c r="H350" s="135">
        <f>29-10+35</f>
        <v>54</v>
      </c>
      <c r="K350" s="135">
        <v>50.8</v>
      </c>
      <c r="L350" s="604">
        <f t="shared" si="25"/>
        <v>175.17241379310343</v>
      </c>
      <c r="M350" s="605">
        <f t="shared" si="26"/>
        <v>94.07407407407406</v>
      </c>
    </row>
    <row r="351" spans="1:13" ht="48">
      <c r="A351" s="172" t="s">
        <v>1354</v>
      </c>
      <c r="B351" s="184" t="s">
        <v>780</v>
      </c>
      <c r="C351" s="124" t="s">
        <v>815</v>
      </c>
      <c r="D351" s="124" t="s">
        <v>1064</v>
      </c>
      <c r="E351" s="124" t="s">
        <v>526</v>
      </c>
      <c r="F351" s="124"/>
      <c r="G351" s="132">
        <f aca="true" t="shared" si="27" ref="G351:H353">G352</f>
        <v>99634</v>
      </c>
      <c r="H351" s="132">
        <f t="shared" si="27"/>
        <v>104735.6</v>
      </c>
      <c r="K351" s="132">
        <f>K352</f>
        <v>103260.8</v>
      </c>
      <c r="L351" s="604">
        <f t="shared" si="25"/>
        <v>103.64012284962965</v>
      </c>
      <c r="M351" s="605">
        <f t="shared" si="26"/>
        <v>98.59188279820805</v>
      </c>
    </row>
    <row r="352" spans="1:13" ht="15">
      <c r="A352" s="134" t="s">
        <v>821</v>
      </c>
      <c r="B352" s="184" t="s">
        <v>780</v>
      </c>
      <c r="C352" s="124" t="s">
        <v>815</v>
      </c>
      <c r="D352" s="124" t="s">
        <v>1064</v>
      </c>
      <c r="E352" s="124" t="s">
        <v>526</v>
      </c>
      <c r="F352" s="124"/>
      <c r="G352" s="132">
        <f t="shared" si="27"/>
        <v>99634</v>
      </c>
      <c r="H352" s="132">
        <f t="shared" si="27"/>
        <v>104735.6</v>
      </c>
      <c r="K352" s="132">
        <f>K353</f>
        <v>103260.8</v>
      </c>
      <c r="L352" s="604">
        <f t="shared" si="25"/>
        <v>103.64012284962965</v>
      </c>
      <c r="M352" s="605">
        <f t="shared" si="26"/>
        <v>98.59188279820805</v>
      </c>
    </row>
    <row r="353" spans="1:13" ht="24">
      <c r="A353" s="129" t="s">
        <v>752</v>
      </c>
      <c r="B353" s="184" t="s">
        <v>780</v>
      </c>
      <c r="C353" s="124" t="s">
        <v>815</v>
      </c>
      <c r="D353" s="124" t="s">
        <v>1064</v>
      </c>
      <c r="E353" s="124" t="s">
        <v>526</v>
      </c>
      <c r="F353" s="124" t="s">
        <v>751</v>
      </c>
      <c r="G353" s="132">
        <f t="shared" si="27"/>
        <v>99634</v>
      </c>
      <c r="H353" s="132">
        <f t="shared" si="27"/>
        <v>104735.6</v>
      </c>
      <c r="K353" s="132">
        <f>K354</f>
        <v>103260.8</v>
      </c>
      <c r="L353" s="604">
        <f t="shared" si="25"/>
        <v>103.64012284962965</v>
      </c>
      <c r="M353" s="605">
        <f t="shared" si="26"/>
        <v>98.59188279820805</v>
      </c>
    </row>
    <row r="354" spans="1:13" ht="24">
      <c r="A354" s="134" t="s">
        <v>1435</v>
      </c>
      <c r="B354" s="184" t="s">
        <v>780</v>
      </c>
      <c r="C354" s="124" t="s">
        <v>815</v>
      </c>
      <c r="D354" s="124" t="s">
        <v>1064</v>
      </c>
      <c r="E354" s="124" t="s">
        <v>526</v>
      </c>
      <c r="F354" s="124" t="s">
        <v>1436</v>
      </c>
      <c r="G354" s="135">
        <f>99634</f>
        <v>99634</v>
      </c>
      <c r="H354" s="135">
        <f>99634+604+80-4740+7500+1600+57.6</f>
        <v>104735.6</v>
      </c>
      <c r="K354" s="135">
        <v>103260.8</v>
      </c>
      <c r="L354" s="604">
        <f t="shared" si="25"/>
        <v>103.64012284962965</v>
      </c>
      <c r="M354" s="605">
        <f t="shared" si="26"/>
        <v>98.59188279820805</v>
      </c>
    </row>
    <row r="355" spans="1:13" ht="15">
      <c r="A355" s="144" t="s">
        <v>159</v>
      </c>
      <c r="B355" s="184" t="s">
        <v>780</v>
      </c>
      <c r="C355" s="146" t="s">
        <v>1695</v>
      </c>
      <c r="D355" s="146"/>
      <c r="E355" s="146"/>
      <c r="F355" s="146"/>
      <c r="G355" s="132">
        <f aca="true" t="shared" si="28" ref="G355:H357">G356</f>
        <v>403821.6</v>
      </c>
      <c r="H355" s="132">
        <f t="shared" si="28"/>
        <v>390350.69999999995</v>
      </c>
      <c r="K355" s="132">
        <f>K356</f>
        <v>375660.8</v>
      </c>
      <c r="L355" s="604">
        <f t="shared" si="25"/>
        <v>93.02642553048179</v>
      </c>
      <c r="M355" s="605">
        <f t="shared" si="26"/>
        <v>96.23674301083615</v>
      </c>
    </row>
    <row r="356" spans="1:13" ht="15">
      <c r="A356" s="133" t="s">
        <v>160</v>
      </c>
      <c r="B356" s="184" t="s">
        <v>780</v>
      </c>
      <c r="C356" s="124" t="s">
        <v>1695</v>
      </c>
      <c r="D356" s="124" t="s">
        <v>1594</v>
      </c>
      <c r="E356" s="147"/>
      <c r="F356" s="147"/>
      <c r="G356" s="132">
        <f t="shared" si="28"/>
        <v>403821.6</v>
      </c>
      <c r="H356" s="132">
        <f t="shared" si="28"/>
        <v>390350.69999999995</v>
      </c>
      <c r="K356" s="132">
        <f>K357</f>
        <v>375660.8</v>
      </c>
      <c r="L356" s="604">
        <f t="shared" si="25"/>
        <v>93.02642553048179</v>
      </c>
      <c r="M356" s="605">
        <f t="shared" si="26"/>
        <v>96.23674301083615</v>
      </c>
    </row>
    <row r="357" spans="1:13" ht="24">
      <c r="A357" s="141" t="s">
        <v>732</v>
      </c>
      <c r="B357" s="184" t="s">
        <v>780</v>
      </c>
      <c r="C357" s="124" t="s">
        <v>1695</v>
      </c>
      <c r="D357" s="124" t="s">
        <v>1594</v>
      </c>
      <c r="E357" s="124" t="s">
        <v>625</v>
      </c>
      <c r="F357" s="124"/>
      <c r="G357" s="132">
        <f t="shared" si="28"/>
        <v>403821.6</v>
      </c>
      <c r="H357" s="132">
        <f t="shared" si="28"/>
        <v>390350.69999999995</v>
      </c>
      <c r="K357" s="132">
        <f>K358</f>
        <v>375660.8</v>
      </c>
      <c r="L357" s="604">
        <f t="shared" si="25"/>
        <v>93.02642553048179</v>
      </c>
      <c r="M357" s="605">
        <f t="shared" si="26"/>
        <v>96.23674301083615</v>
      </c>
    </row>
    <row r="358" spans="1:13" ht="24">
      <c r="A358" s="134" t="s">
        <v>148</v>
      </c>
      <c r="B358" s="184" t="s">
        <v>780</v>
      </c>
      <c r="C358" s="124" t="s">
        <v>1695</v>
      </c>
      <c r="D358" s="124" t="s">
        <v>1594</v>
      </c>
      <c r="E358" s="124" t="s">
        <v>667</v>
      </c>
      <c r="F358" s="124"/>
      <c r="G358" s="132">
        <f>G365+G368+G376+G381+G359+G362+G386+G389</f>
        <v>403821.6</v>
      </c>
      <c r="H358" s="132">
        <f>H365+H368+H376+H381+H359+H362+H386+H389</f>
        <v>390350.69999999995</v>
      </c>
      <c r="K358" s="132">
        <f>K365+K368+K376+K381+K359+K362+K386+K389</f>
        <v>375660.8</v>
      </c>
      <c r="L358" s="604">
        <f t="shared" si="25"/>
        <v>93.02642553048179</v>
      </c>
      <c r="M358" s="605">
        <f t="shared" si="26"/>
        <v>96.23674301083615</v>
      </c>
    </row>
    <row r="359" spans="1:13" ht="36">
      <c r="A359" s="203" t="s">
        <v>873</v>
      </c>
      <c r="B359" s="184" t="s">
        <v>780</v>
      </c>
      <c r="C359" s="124" t="s">
        <v>1695</v>
      </c>
      <c r="D359" s="124" t="s">
        <v>1594</v>
      </c>
      <c r="E359" s="124" t="s">
        <v>874</v>
      </c>
      <c r="F359" s="124"/>
      <c r="G359" s="132">
        <f>G360</f>
        <v>0</v>
      </c>
      <c r="H359" s="132">
        <f>H360</f>
        <v>4544</v>
      </c>
      <c r="K359" s="132">
        <f>K360</f>
        <v>0</v>
      </c>
      <c r="L359" s="604">
        <v>0</v>
      </c>
      <c r="M359" s="605">
        <f t="shared" si="26"/>
        <v>0</v>
      </c>
    </row>
    <row r="360" spans="1:13" ht="24">
      <c r="A360" s="129" t="s">
        <v>752</v>
      </c>
      <c r="B360" s="184" t="s">
        <v>780</v>
      </c>
      <c r="C360" s="124" t="s">
        <v>1695</v>
      </c>
      <c r="D360" s="124" t="s">
        <v>1594</v>
      </c>
      <c r="E360" s="124" t="s">
        <v>874</v>
      </c>
      <c r="F360" s="124" t="s">
        <v>751</v>
      </c>
      <c r="G360" s="132">
        <f>G361</f>
        <v>0</v>
      </c>
      <c r="H360" s="132">
        <f>H361</f>
        <v>4544</v>
      </c>
      <c r="K360" s="132">
        <f>K361</f>
        <v>0</v>
      </c>
      <c r="L360" s="604">
        <v>0</v>
      </c>
      <c r="M360" s="605">
        <f t="shared" si="26"/>
        <v>0</v>
      </c>
    </row>
    <row r="361" spans="1:13" ht="24">
      <c r="A361" s="134" t="s">
        <v>1212</v>
      </c>
      <c r="B361" s="184" t="s">
        <v>780</v>
      </c>
      <c r="C361" s="124" t="s">
        <v>1695</v>
      </c>
      <c r="D361" s="124" t="s">
        <v>1594</v>
      </c>
      <c r="E361" s="124" t="s">
        <v>874</v>
      </c>
      <c r="F361" s="124" t="s">
        <v>1436</v>
      </c>
      <c r="G361" s="135">
        <v>0</v>
      </c>
      <c r="H361" s="135">
        <v>4544</v>
      </c>
      <c r="K361" s="135">
        <v>0</v>
      </c>
      <c r="L361" s="604">
        <v>0</v>
      </c>
      <c r="M361" s="605">
        <f t="shared" si="26"/>
        <v>0</v>
      </c>
    </row>
    <row r="362" spans="1:13" ht="24">
      <c r="A362" s="134" t="s">
        <v>875</v>
      </c>
      <c r="B362" s="184" t="s">
        <v>780</v>
      </c>
      <c r="C362" s="124" t="s">
        <v>1695</v>
      </c>
      <c r="D362" s="124" t="s">
        <v>1594</v>
      </c>
      <c r="E362" s="124" t="s">
        <v>876</v>
      </c>
      <c r="F362" s="124"/>
      <c r="G362" s="132">
        <f>G363</f>
        <v>0</v>
      </c>
      <c r="H362" s="132">
        <f>H363</f>
        <v>3136</v>
      </c>
      <c r="K362" s="132">
        <f>K363</f>
        <v>0</v>
      </c>
      <c r="L362" s="604">
        <v>0</v>
      </c>
      <c r="M362" s="605">
        <f t="shared" si="26"/>
        <v>0</v>
      </c>
    </row>
    <row r="363" spans="1:13" ht="24">
      <c r="A363" s="129" t="s">
        <v>752</v>
      </c>
      <c r="B363" s="184" t="s">
        <v>780</v>
      </c>
      <c r="C363" s="124" t="s">
        <v>1695</v>
      </c>
      <c r="D363" s="124" t="s">
        <v>1594</v>
      </c>
      <c r="E363" s="124" t="s">
        <v>876</v>
      </c>
      <c r="F363" s="124" t="s">
        <v>751</v>
      </c>
      <c r="G363" s="132">
        <f>G364</f>
        <v>0</v>
      </c>
      <c r="H363" s="132">
        <f>H364</f>
        <v>3136</v>
      </c>
      <c r="K363" s="132">
        <f>K364</f>
        <v>0</v>
      </c>
      <c r="L363" s="604">
        <v>0</v>
      </c>
      <c r="M363" s="605">
        <f t="shared" si="26"/>
        <v>0</v>
      </c>
    </row>
    <row r="364" spans="1:13" ht="24">
      <c r="A364" s="134" t="s">
        <v>1212</v>
      </c>
      <c r="B364" s="184" t="s">
        <v>780</v>
      </c>
      <c r="C364" s="124" t="s">
        <v>1695</v>
      </c>
      <c r="D364" s="124" t="s">
        <v>1594</v>
      </c>
      <c r="E364" s="124" t="s">
        <v>876</v>
      </c>
      <c r="F364" s="124" t="s">
        <v>1436</v>
      </c>
      <c r="G364" s="135">
        <v>0</v>
      </c>
      <c r="H364" s="135">
        <v>3136</v>
      </c>
      <c r="K364" s="135">
        <v>0</v>
      </c>
      <c r="L364" s="604">
        <v>0</v>
      </c>
      <c r="M364" s="605">
        <f t="shared" si="26"/>
        <v>0</v>
      </c>
    </row>
    <row r="365" spans="1:13" ht="84">
      <c r="A365" s="142" t="s">
        <v>1221</v>
      </c>
      <c r="B365" s="184" t="s">
        <v>780</v>
      </c>
      <c r="C365" s="127" t="s">
        <v>1695</v>
      </c>
      <c r="D365" s="127" t="s">
        <v>1594</v>
      </c>
      <c r="E365" s="124" t="s">
        <v>1681</v>
      </c>
      <c r="F365" s="124"/>
      <c r="G365" s="132">
        <f>G366</f>
        <v>7680</v>
      </c>
      <c r="H365" s="132">
        <f>H366</f>
        <v>0</v>
      </c>
      <c r="K365" s="132">
        <f>K366</f>
        <v>0</v>
      </c>
      <c r="L365" s="604">
        <f t="shared" si="25"/>
        <v>0</v>
      </c>
      <c r="M365" s="604">
        <v>0</v>
      </c>
    </row>
    <row r="366" spans="1:13" ht="24">
      <c r="A366" s="129" t="s">
        <v>592</v>
      </c>
      <c r="B366" s="184" t="s">
        <v>780</v>
      </c>
      <c r="C366" s="127" t="s">
        <v>1695</v>
      </c>
      <c r="D366" s="127" t="s">
        <v>1594</v>
      </c>
      <c r="E366" s="124" t="s">
        <v>1681</v>
      </c>
      <c r="F366" s="124" t="s">
        <v>107</v>
      </c>
      <c r="G366" s="132">
        <f>G367</f>
        <v>7680</v>
      </c>
      <c r="H366" s="132">
        <f>H367</f>
        <v>0</v>
      </c>
      <c r="K366" s="132">
        <f>K367</f>
        <v>0</v>
      </c>
      <c r="L366" s="604">
        <f t="shared" si="25"/>
        <v>0</v>
      </c>
      <c r="M366" s="604">
        <v>0</v>
      </c>
    </row>
    <row r="367" spans="1:13" ht="36">
      <c r="A367" s="129" t="s">
        <v>1531</v>
      </c>
      <c r="B367" s="184" t="s">
        <v>780</v>
      </c>
      <c r="C367" s="127" t="s">
        <v>1695</v>
      </c>
      <c r="D367" s="127" t="s">
        <v>1594</v>
      </c>
      <c r="E367" s="124" t="s">
        <v>1681</v>
      </c>
      <c r="F367" s="124" t="s">
        <v>2</v>
      </c>
      <c r="G367" s="135">
        <v>7680</v>
      </c>
      <c r="H367" s="135">
        <v>0</v>
      </c>
      <c r="K367" s="135">
        <v>0</v>
      </c>
      <c r="L367" s="604">
        <f t="shared" si="25"/>
        <v>0</v>
      </c>
      <c r="M367" s="604">
        <v>0</v>
      </c>
    </row>
    <row r="368" spans="1:13" ht="24">
      <c r="A368" s="129" t="s">
        <v>752</v>
      </c>
      <c r="B368" s="184" t="s">
        <v>780</v>
      </c>
      <c r="C368" s="124" t="s">
        <v>1695</v>
      </c>
      <c r="D368" s="124" t="s">
        <v>1594</v>
      </c>
      <c r="E368" s="124" t="s">
        <v>528</v>
      </c>
      <c r="F368" s="124" t="s">
        <v>751</v>
      </c>
      <c r="G368" s="132">
        <f>G369+G373</f>
        <v>135871</v>
      </c>
      <c r="H368" s="132">
        <f>H369+H373</f>
        <v>127596.7</v>
      </c>
      <c r="K368" s="132">
        <f>K369+K373</f>
        <v>125305.1</v>
      </c>
      <c r="L368" s="604">
        <f t="shared" si="25"/>
        <v>92.22357971899817</v>
      </c>
      <c r="M368" s="605">
        <f t="shared" si="26"/>
        <v>98.20402878757837</v>
      </c>
    </row>
    <row r="369" spans="1:13" ht="20.25" customHeight="1">
      <c r="A369" s="134" t="s">
        <v>753</v>
      </c>
      <c r="B369" s="184" t="s">
        <v>780</v>
      </c>
      <c r="C369" s="124" t="s">
        <v>1695</v>
      </c>
      <c r="D369" s="124" t="s">
        <v>1594</v>
      </c>
      <c r="E369" s="124" t="s">
        <v>528</v>
      </c>
      <c r="F369" s="124" t="s">
        <v>1436</v>
      </c>
      <c r="G369" s="135">
        <f>33436</f>
        <v>33436</v>
      </c>
      <c r="H369" s="135">
        <f>33436+H370+H371-1340+H372+61.6</f>
        <v>32476.800000000003</v>
      </c>
      <c r="K369" s="132">
        <v>31988.8</v>
      </c>
      <c r="L369" s="604">
        <f t="shared" si="25"/>
        <v>95.67173106830961</v>
      </c>
      <c r="M369" s="605">
        <f t="shared" si="26"/>
        <v>98.49738890531086</v>
      </c>
    </row>
    <row r="370" spans="1:13" ht="24">
      <c r="A370" s="134" t="s">
        <v>413</v>
      </c>
      <c r="B370" s="184" t="s">
        <v>780</v>
      </c>
      <c r="C370" s="124" t="s">
        <v>1695</v>
      </c>
      <c r="D370" s="124" t="s">
        <v>1594</v>
      </c>
      <c r="E370" s="124" t="s">
        <v>528</v>
      </c>
      <c r="F370" s="124" t="s">
        <v>1436</v>
      </c>
      <c r="G370" s="135">
        <v>0</v>
      </c>
      <c r="H370" s="135">
        <v>63.3</v>
      </c>
      <c r="K370" s="135">
        <v>45</v>
      </c>
      <c r="L370" s="604">
        <v>0</v>
      </c>
      <c r="M370" s="605">
        <f t="shared" si="26"/>
        <v>71.09004739336493</v>
      </c>
    </row>
    <row r="371" spans="1:13" ht="24">
      <c r="A371" s="134" t="s">
        <v>56</v>
      </c>
      <c r="B371" s="184" t="s">
        <v>780</v>
      </c>
      <c r="C371" s="124" t="s">
        <v>1695</v>
      </c>
      <c r="D371" s="124" t="s">
        <v>1594</v>
      </c>
      <c r="E371" s="124" t="s">
        <v>528</v>
      </c>
      <c r="F371" s="124" t="s">
        <v>1436</v>
      </c>
      <c r="G371" s="135">
        <v>0</v>
      </c>
      <c r="H371" s="135">
        <v>45.9</v>
      </c>
      <c r="K371" s="135">
        <v>45.9</v>
      </c>
      <c r="L371" s="604">
        <v>0</v>
      </c>
      <c r="M371" s="605">
        <f t="shared" si="26"/>
        <v>100</v>
      </c>
    </row>
    <row r="372" spans="1:13" ht="48">
      <c r="A372" s="134" t="s">
        <v>1544</v>
      </c>
      <c r="B372" s="184" t="s">
        <v>780</v>
      </c>
      <c r="C372" s="124" t="s">
        <v>1695</v>
      </c>
      <c r="D372" s="124" t="s">
        <v>1594</v>
      </c>
      <c r="E372" s="124" t="s">
        <v>528</v>
      </c>
      <c r="F372" s="124" t="s">
        <v>1436</v>
      </c>
      <c r="G372" s="135">
        <v>0</v>
      </c>
      <c r="H372" s="135">
        <v>210</v>
      </c>
      <c r="K372" s="135">
        <v>149</v>
      </c>
      <c r="L372" s="604">
        <v>0</v>
      </c>
      <c r="M372" s="605">
        <f t="shared" si="26"/>
        <v>70.95238095238095</v>
      </c>
    </row>
    <row r="373" spans="1:13" ht="19.5" customHeight="1">
      <c r="A373" s="134" t="s">
        <v>1682</v>
      </c>
      <c r="B373" s="184" t="s">
        <v>780</v>
      </c>
      <c r="C373" s="124" t="s">
        <v>1695</v>
      </c>
      <c r="D373" s="124" t="s">
        <v>1594</v>
      </c>
      <c r="E373" s="124" t="s">
        <v>528</v>
      </c>
      <c r="F373" s="124" t="s">
        <v>1502</v>
      </c>
      <c r="G373" s="135">
        <f>102435</f>
        <v>102435</v>
      </c>
      <c r="H373" s="135">
        <f>102435+290+571-4340+4867.7-2669+255-3072.8-2400+183-1000</f>
        <v>95119.9</v>
      </c>
      <c r="K373" s="135">
        <v>93316.3</v>
      </c>
      <c r="L373" s="604">
        <f t="shared" si="25"/>
        <v>91.09806218577636</v>
      </c>
      <c r="M373" s="605">
        <f t="shared" si="26"/>
        <v>98.10386680389699</v>
      </c>
    </row>
    <row r="374" spans="1:13" ht="27" customHeight="1">
      <c r="A374" s="134" t="s">
        <v>883</v>
      </c>
      <c r="B374" s="184" t="s">
        <v>780</v>
      </c>
      <c r="C374" s="124" t="s">
        <v>1695</v>
      </c>
      <c r="D374" s="124" t="s">
        <v>1594</v>
      </c>
      <c r="E374" s="124" t="s">
        <v>528</v>
      </c>
      <c r="F374" s="124" t="s">
        <v>1502</v>
      </c>
      <c r="G374" s="135">
        <v>0</v>
      </c>
      <c r="H374" s="135">
        <f>1350+255</f>
        <v>1605</v>
      </c>
      <c r="K374" s="135">
        <v>1590.7</v>
      </c>
      <c r="L374" s="604">
        <v>0</v>
      </c>
      <c r="M374" s="605">
        <f t="shared" si="26"/>
        <v>99.10903426791278</v>
      </c>
    </row>
    <row r="375" spans="1:13" ht="27" customHeight="1">
      <c r="A375" s="134" t="s">
        <v>1222</v>
      </c>
      <c r="B375" s="184" t="s">
        <v>780</v>
      </c>
      <c r="C375" s="124" t="s">
        <v>1695</v>
      </c>
      <c r="D375" s="124" t="s">
        <v>1594</v>
      </c>
      <c r="E375" s="124" t="s">
        <v>528</v>
      </c>
      <c r="F375" s="124" t="s">
        <v>1502</v>
      </c>
      <c r="G375" s="135">
        <v>0</v>
      </c>
      <c r="H375" s="135">
        <v>183</v>
      </c>
      <c r="K375" s="135">
        <v>182.8</v>
      </c>
      <c r="L375" s="604">
        <v>0</v>
      </c>
      <c r="M375" s="605">
        <f t="shared" si="26"/>
        <v>99.89071038251367</v>
      </c>
    </row>
    <row r="376" spans="1:13" ht="25.5" customHeight="1">
      <c r="A376" s="129" t="s">
        <v>752</v>
      </c>
      <c r="B376" s="184" t="s">
        <v>780</v>
      </c>
      <c r="C376" s="124" t="s">
        <v>1695</v>
      </c>
      <c r="D376" s="124" t="s">
        <v>1594</v>
      </c>
      <c r="E376" s="124" t="s">
        <v>530</v>
      </c>
      <c r="F376" s="124" t="s">
        <v>751</v>
      </c>
      <c r="G376" s="132">
        <f>G377</f>
        <v>2000</v>
      </c>
      <c r="H376" s="132">
        <f>H377</f>
        <v>1938.4</v>
      </c>
      <c r="K376" s="132">
        <f>K377</f>
        <v>1717</v>
      </c>
      <c r="L376" s="604">
        <f t="shared" si="25"/>
        <v>85.85000000000001</v>
      </c>
      <c r="M376" s="605">
        <f t="shared" si="26"/>
        <v>88.5782088320264</v>
      </c>
    </row>
    <row r="377" spans="1:13" ht="19.5" customHeight="1">
      <c r="A377" s="134" t="s">
        <v>18</v>
      </c>
      <c r="B377" s="184" t="s">
        <v>780</v>
      </c>
      <c r="C377" s="124" t="s">
        <v>1695</v>
      </c>
      <c r="D377" s="124" t="s">
        <v>1594</v>
      </c>
      <c r="E377" s="124" t="s">
        <v>530</v>
      </c>
      <c r="F377" s="124" t="s">
        <v>1436</v>
      </c>
      <c r="G377" s="132">
        <f>G378+G379</f>
        <v>2000</v>
      </c>
      <c r="H377" s="132">
        <f>H378+H379</f>
        <v>1938.4</v>
      </c>
      <c r="K377" s="132">
        <f>K378+K379</f>
        <v>1717</v>
      </c>
      <c r="L377" s="604">
        <f t="shared" si="25"/>
        <v>85.85000000000001</v>
      </c>
      <c r="M377" s="605">
        <f t="shared" si="26"/>
        <v>88.5782088320264</v>
      </c>
    </row>
    <row r="378" spans="1:13" ht="25.5" customHeight="1">
      <c r="A378" s="134" t="s">
        <v>1279</v>
      </c>
      <c r="B378" s="184" t="s">
        <v>780</v>
      </c>
      <c r="C378" s="124" t="s">
        <v>1695</v>
      </c>
      <c r="D378" s="124" t="s">
        <v>1594</v>
      </c>
      <c r="E378" s="124" t="s">
        <v>530</v>
      </c>
      <c r="F378" s="124" t="s">
        <v>1436</v>
      </c>
      <c r="G378" s="135">
        <f>2000</f>
        <v>2000</v>
      </c>
      <c r="H378" s="135">
        <f>2000-115-61.6</f>
        <v>1823.4</v>
      </c>
      <c r="K378" s="135">
        <v>1609.4</v>
      </c>
      <c r="L378" s="604">
        <f t="shared" si="25"/>
        <v>80.47000000000001</v>
      </c>
      <c r="M378" s="605">
        <f t="shared" si="26"/>
        <v>88.2636832291324</v>
      </c>
    </row>
    <row r="379" spans="1:13" ht="25.5" customHeight="1">
      <c r="A379" s="134" t="s">
        <v>1682</v>
      </c>
      <c r="B379" s="184" t="s">
        <v>780</v>
      </c>
      <c r="C379" s="124" t="s">
        <v>1695</v>
      </c>
      <c r="D379" s="124" t="s">
        <v>1594</v>
      </c>
      <c r="E379" s="124" t="s">
        <v>530</v>
      </c>
      <c r="F379" s="124" t="s">
        <v>1502</v>
      </c>
      <c r="G379" s="154">
        <f>G380</f>
        <v>0</v>
      </c>
      <c r="H379" s="154">
        <f>H380</f>
        <v>115</v>
      </c>
      <c r="K379" s="154">
        <f>K380</f>
        <v>107.6</v>
      </c>
      <c r="L379" s="604">
        <v>0</v>
      </c>
      <c r="M379" s="605">
        <f t="shared" si="26"/>
        <v>93.56521739130434</v>
      </c>
    </row>
    <row r="380" spans="1:13" ht="25.5" customHeight="1">
      <c r="A380" s="134" t="s">
        <v>1279</v>
      </c>
      <c r="B380" s="184" t="s">
        <v>780</v>
      </c>
      <c r="C380" s="124" t="s">
        <v>1695</v>
      </c>
      <c r="D380" s="124" t="s">
        <v>1594</v>
      </c>
      <c r="E380" s="124" t="s">
        <v>530</v>
      </c>
      <c r="F380" s="124" t="s">
        <v>1502</v>
      </c>
      <c r="G380" s="135">
        <v>0</v>
      </c>
      <c r="H380" s="135">
        <v>115</v>
      </c>
      <c r="K380" s="135">
        <v>107.6</v>
      </c>
      <c r="L380" s="604">
        <v>0</v>
      </c>
      <c r="M380" s="605">
        <f t="shared" si="26"/>
        <v>93.56521739130434</v>
      </c>
    </row>
    <row r="381" spans="1:13" ht="24">
      <c r="A381" s="129" t="s">
        <v>592</v>
      </c>
      <c r="B381" s="184" t="s">
        <v>780</v>
      </c>
      <c r="C381" s="127" t="s">
        <v>1695</v>
      </c>
      <c r="D381" s="127" t="s">
        <v>1594</v>
      </c>
      <c r="E381" s="124" t="s">
        <v>529</v>
      </c>
      <c r="F381" s="127" t="s">
        <v>107</v>
      </c>
      <c r="G381" s="132">
        <f>G382</f>
        <v>258270.6</v>
      </c>
      <c r="H381" s="132">
        <f>H382</f>
        <v>251215.59999999998</v>
      </c>
      <c r="K381" s="132">
        <f>K382</f>
        <v>248638.69999999998</v>
      </c>
      <c r="L381" s="604">
        <f t="shared" si="25"/>
        <v>96.27061694207548</v>
      </c>
      <c r="M381" s="605">
        <f t="shared" si="26"/>
        <v>98.97422771515781</v>
      </c>
    </row>
    <row r="382" spans="1:13" ht="36">
      <c r="A382" s="129" t="s">
        <v>387</v>
      </c>
      <c r="B382" s="184" t="s">
        <v>780</v>
      </c>
      <c r="C382" s="127" t="s">
        <v>1695</v>
      </c>
      <c r="D382" s="127" t="s">
        <v>1594</v>
      </c>
      <c r="E382" s="124" t="s">
        <v>529</v>
      </c>
      <c r="F382" s="127" t="s">
        <v>2</v>
      </c>
      <c r="G382" s="132">
        <f>G384+G383+G385</f>
        <v>258270.6</v>
      </c>
      <c r="H382" s="132">
        <f>H384+H383+H385</f>
        <v>251215.59999999998</v>
      </c>
      <c r="K382" s="132">
        <f>K384+K383+K385</f>
        <v>248638.69999999998</v>
      </c>
      <c r="L382" s="604">
        <f t="shared" si="25"/>
        <v>96.27061694207548</v>
      </c>
      <c r="M382" s="605">
        <f t="shared" si="26"/>
        <v>98.97422771515781</v>
      </c>
    </row>
    <row r="383" spans="1:13" ht="36">
      <c r="A383" s="178" t="s">
        <v>1680</v>
      </c>
      <c r="B383" s="184" t="s">
        <v>780</v>
      </c>
      <c r="C383" s="127" t="s">
        <v>1695</v>
      </c>
      <c r="D383" s="127" t="s">
        <v>1594</v>
      </c>
      <c r="E383" s="124" t="s">
        <v>529</v>
      </c>
      <c r="F383" s="127" t="s">
        <v>2</v>
      </c>
      <c r="G383" s="135">
        <v>1920</v>
      </c>
      <c r="H383" s="135">
        <v>1920</v>
      </c>
      <c r="K383" s="135">
        <v>0</v>
      </c>
      <c r="L383" s="604">
        <f t="shared" si="25"/>
        <v>0</v>
      </c>
      <c r="M383" s="605">
        <f t="shared" si="26"/>
        <v>0</v>
      </c>
    </row>
    <row r="384" spans="1:13" ht="54.75" customHeight="1">
      <c r="A384" s="178" t="s">
        <v>1710</v>
      </c>
      <c r="B384" s="184" t="s">
        <v>780</v>
      </c>
      <c r="C384" s="127" t="s">
        <v>1695</v>
      </c>
      <c r="D384" s="127" t="s">
        <v>1594</v>
      </c>
      <c r="E384" s="124" t="s">
        <v>529</v>
      </c>
      <c r="F384" s="127" t="s">
        <v>2</v>
      </c>
      <c r="G384" s="135">
        <v>256350.6</v>
      </c>
      <c r="H384" s="135">
        <f>281692.8+8579.6-33921.8-7800</f>
        <v>248550.59999999998</v>
      </c>
      <c r="K384" s="135">
        <v>247894.4</v>
      </c>
      <c r="L384" s="604">
        <f t="shared" si="25"/>
        <v>96.70131452783805</v>
      </c>
      <c r="M384" s="605">
        <f t="shared" si="26"/>
        <v>99.73598937198301</v>
      </c>
    </row>
    <row r="385" spans="1:13" ht="48">
      <c r="A385" s="178" t="s">
        <v>884</v>
      </c>
      <c r="B385" s="184" t="s">
        <v>780</v>
      </c>
      <c r="C385" s="127" t="s">
        <v>1695</v>
      </c>
      <c r="D385" s="127" t="s">
        <v>1594</v>
      </c>
      <c r="E385" s="124" t="s">
        <v>529</v>
      </c>
      <c r="F385" s="127" t="s">
        <v>2</v>
      </c>
      <c r="G385" s="135">
        <v>0</v>
      </c>
      <c r="H385" s="135">
        <f>1000-255</f>
        <v>745</v>
      </c>
      <c r="K385" s="135">
        <v>744.3</v>
      </c>
      <c r="L385" s="604">
        <v>0</v>
      </c>
      <c r="M385" s="605">
        <f t="shared" si="26"/>
        <v>99.90604026845637</v>
      </c>
    </row>
    <row r="386" spans="1:13" ht="24">
      <c r="A386" s="129" t="s">
        <v>752</v>
      </c>
      <c r="B386" s="184" t="s">
        <v>780</v>
      </c>
      <c r="C386" s="127" t="s">
        <v>1695</v>
      </c>
      <c r="D386" s="127" t="s">
        <v>1594</v>
      </c>
      <c r="E386" s="124" t="s">
        <v>877</v>
      </c>
      <c r="F386" s="127" t="s">
        <v>751</v>
      </c>
      <c r="G386" s="132">
        <f>G387</f>
        <v>0</v>
      </c>
      <c r="H386" s="132">
        <f>H387</f>
        <v>1136</v>
      </c>
      <c r="K386" s="132">
        <f>K387</f>
        <v>0</v>
      </c>
      <c r="L386" s="604">
        <v>0</v>
      </c>
      <c r="M386" s="605">
        <f t="shared" si="26"/>
        <v>0</v>
      </c>
    </row>
    <row r="387" spans="1:13" ht="24">
      <c r="A387" s="134" t="s">
        <v>18</v>
      </c>
      <c r="B387" s="184" t="s">
        <v>780</v>
      </c>
      <c r="C387" s="127" t="s">
        <v>1695</v>
      </c>
      <c r="D387" s="127" t="s">
        <v>1594</v>
      </c>
      <c r="E387" s="124" t="s">
        <v>877</v>
      </c>
      <c r="F387" s="127" t="s">
        <v>1436</v>
      </c>
      <c r="G387" s="132">
        <f>G388</f>
        <v>0</v>
      </c>
      <c r="H387" s="132">
        <f>H388</f>
        <v>1136</v>
      </c>
      <c r="K387" s="132">
        <f>K388</f>
        <v>0</v>
      </c>
      <c r="L387" s="604">
        <v>0</v>
      </c>
      <c r="M387" s="605">
        <f t="shared" si="26"/>
        <v>0</v>
      </c>
    </row>
    <row r="388" spans="1:13" ht="72">
      <c r="A388" s="129" t="s">
        <v>1545</v>
      </c>
      <c r="B388" s="184" t="s">
        <v>780</v>
      </c>
      <c r="C388" s="127" t="s">
        <v>1695</v>
      </c>
      <c r="D388" s="127" t="s">
        <v>1594</v>
      </c>
      <c r="E388" s="124" t="s">
        <v>877</v>
      </c>
      <c r="F388" s="127" t="s">
        <v>1436</v>
      </c>
      <c r="G388" s="135">
        <v>0</v>
      </c>
      <c r="H388" s="135">
        <v>1136</v>
      </c>
      <c r="K388" s="135">
        <v>0</v>
      </c>
      <c r="L388" s="604">
        <v>0</v>
      </c>
      <c r="M388" s="605">
        <f t="shared" si="26"/>
        <v>0</v>
      </c>
    </row>
    <row r="389" spans="1:13" ht="24">
      <c r="A389" s="129" t="s">
        <v>752</v>
      </c>
      <c r="B389" s="184" t="s">
        <v>780</v>
      </c>
      <c r="C389" s="127" t="s">
        <v>1695</v>
      </c>
      <c r="D389" s="127" t="s">
        <v>1594</v>
      </c>
      <c r="E389" s="124" t="s">
        <v>878</v>
      </c>
      <c r="F389" s="127" t="s">
        <v>751</v>
      </c>
      <c r="G389" s="132">
        <f>G390</f>
        <v>0</v>
      </c>
      <c r="H389" s="132">
        <f>H390</f>
        <v>784</v>
      </c>
      <c r="K389" s="132">
        <f>K390</f>
        <v>0</v>
      </c>
      <c r="L389" s="604">
        <v>0</v>
      </c>
      <c r="M389" s="605">
        <f t="shared" si="26"/>
        <v>0</v>
      </c>
    </row>
    <row r="390" spans="1:13" ht="24">
      <c r="A390" s="134" t="s">
        <v>18</v>
      </c>
      <c r="B390" s="184" t="s">
        <v>780</v>
      </c>
      <c r="C390" s="127" t="s">
        <v>1695</v>
      </c>
      <c r="D390" s="127" t="s">
        <v>1594</v>
      </c>
      <c r="E390" s="124" t="s">
        <v>878</v>
      </c>
      <c r="F390" s="127" t="s">
        <v>1436</v>
      </c>
      <c r="G390" s="132">
        <f>G391</f>
        <v>0</v>
      </c>
      <c r="H390" s="132">
        <f>H391</f>
        <v>784</v>
      </c>
      <c r="K390" s="132">
        <f>K391</f>
        <v>0</v>
      </c>
      <c r="L390" s="604">
        <v>0</v>
      </c>
      <c r="M390" s="605">
        <f t="shared" si="26"/>
        <v>0</v>
      </c>
    </row>
    <row r="391" spans="1:13" ht="49.5" customHeight="1">
      <c r="A391" s="178" t="s">
        <v>1546</v>
      </c>
      <c r="B391" s="184" t="s">
        <v>780</v>
      </c>
      <c r="C391" s="127" t="s">
        <v>1695</v>
      </c>
      <c r="D391" s="127" t="s">
        <v>1594</v>
      </c>
      <c r="E391" s="124" t="s">
        <v>878</v>
      </c>
      <c r="F391" s="127" t="s">
        <v>879</v>
      </c>
      <c r="G391" s="135">
        <v>0</v>
      </c>
      <c r="H391" s="135">
        <f>784</f>
        <v>784</v>
      </c>
      <c r="K391" s="135">
        <v>0</v>
      </c>
      <c r="L391" s="604">
        <v>0</v>
      </c>
      <c r="M391" s="605">
        <f t="shared" si="26"/>
        <v>0</v>
      </c>
    </row>
    <row r="392" spans="1:13" ht="15.75">
      <c r="A392" s="181" t="s">
        <v>1596</v>
      </c>
      <c r="B392" s="182" t="s">
        <v>781</v>
      </c>
      <c r="C392" s="182"/>
      <c r="D392" s="182"/>
      <c r="E392" s="182"/>
      <c r="F392" s="182"/>
      <c r="G392" s="183">
        <f>G393+G531+G566+G652+G770+G790+G964+G981+G987</f>
        <v>1970800.9699999997</v>
      </c>
      <c r="H392" s="183">
        <f>H393+H531+H566+H652+H770+H790+H964+H981+H987</f>
        <v>2542050.07</v>
      </c>
      <c r="K392" s="183">
        <f>K393+K531+K566+K652+K770+K790+K964+K981+K987</f>
        <v>2429661.59</v>
      </c>
      <c r="L392" s="606">
        <f t="shared" si="25"/>
        <v>123.28295078929254</v>
      </c>
      <c r="M392" s="607">
        <f t="shared" si="26"/>
        <v>95.57882508584892</v>
      </c>
    </row>
    <row r="393" spans="1:13" ht="15">
      <c r="A393" s="186" t="s">
        <v>481</v>
      </c>
      <c r="B393" s="184" t="s">
        <v>781</v>
      </c>
      <c r="C393" s="124" t="s">
        <v>1594</v>
      </c>
      <c r="D393" s="124"/>
      <c r="E393" s="124"/>
      <c r="F393" s="124"/>
      <c r="G393" s="132">
        <f>G394+G434+G440+G445</f>
        <v>368329.69999999995</v>
      </c>
      <c r="H393" s="132">
        <f>H394+H434+H440+H445</f>
        <v>758038.3999999999</v>
      </c>
      <c r="K393" s="132">
        <f>K394+K434+K440+K445</f>
        <v>735951.5</v>
      </c>
      <c r="L393" s="604">
        <f t="shared" si="25"/>
        <v>199.80780805892115</v>
      </c>
      <c r="M393" s="605">
        <f t="shared" si="26"/>
        <v>97.08630855640033</v>
      </c>
    </row>
    <row r="394" spans="1:13" ht="36">
      <c r="A394" s="133" t="s">
        <v>743</v>
      </c>
      <c r="B394" s="184" t="s">
        <v>781</v>
      </c>
      <c r="C394" s="124" t="s">
        <v>1594</v>
      </c>
      <c r="D394" s="124" t="s">
        <v>1064</v>
      </c>
      <c r="E394" s="124"/>
      <c r="F394" s="124"/>
      <c r="G394" s="132">
        <f>G395</f>
        <v>252662.8</v>
      </c>
      <c r="H394" s="132">
        <f>H395</f>
        <v>254045.8</v>
      </c>
      <c r="K394" s="132">
        <f>K395</f>
        <v>247538.30000000002</v>
      </c>
      <c r="L394" s="604">
        <f t="shared" si="25"/>
        <v>97.97180273471204</v>
      </c>
      <c r="M394" s="605">
        <f t="shared" si="26"/>
        <v>97.43845401104842</v>
      </c>
    </row>
    <row r="395" spans="1:13" ht="24">
      <c r="A395" s="137" t="s">
        <v>1454</v>
      </c>
      <c r="B395" s="184" t="s">
        <v>781</v>
      </c>
      <c r="C395" s="124" t="s">
        <v>1594</v>
      </c>
      <c r="D395" s="124" t="s">
        <v>1064</v>
      </c>
      <c r="E395" s="124" t="s">
        <v>123</v>
      </c>
      <c r="F395" s="124"/>
      <c r="G395" s="132">
        <f>G396+G405+G408+G428</f>
        <v>252662.8</v>
      </c>
      <c r="H395" s="132">
        <f>H396+H405+H408+H428</f>
        <v>254045.8</v>
      </c>
      <c r="K395" s="132">
        <f>K396+K405+K408+K428</f>
        <v>247538.30000000002</v>
      </c>
      <c r="L395" s="604">
        <f aca="true" t="shared" si="29" ref="L395:L454">K395/G395*100</f>
        <v>97.97180273471204</v>
      </c>
      <c r="M395" s="605">
        <f t="shared" si="26"/>
        <v>97.43845401104842</v>
      </c>
    </row>
    <row r="396" spans="1:13" ht="24">
      <c r="A396" s="129" t="s">
        <v>1355</v>
      </c>
      <c r="B396" s="184" t="s">
        <v>781</v>
      </c>
      <c r="C396" s="124" t="s">
        <v>1594</v>
      </c>
      <c r="D396" s="124" t="s">
        <v>1064</v>
      </c>
      <c r="E396" s="124" t="s">
        <v>457</v>
      </c>
      <c r="F396" s="124"/>
      <c r="G396" s="132">
        <f>G397</f>
        <v>12221.8</v>
      </c>
      <c r="H396" s="132">
        <f>H397+H399+H402</f>
        <v>12892.599999999997</v>
      </c>
      <c r="I396" s="132">
        <f>I397+I399+I402</f>
        <v>0</v>
      </c>
      <c r="J396" s="132">
        <f>J397+J399+J402</f>
        <v>0</v>
      </c>
      <c r="K396" s="132">
        <f>K397+K399+K402</f>
        <v>12539.5</v>
      </c>
      <c r="L396" s="604">
        <f t="shared" si="29"/>
        <v>102.59945343566415</v>
      </c>
      <c r="M396" s="605">
        <f t="shared" si="26"/>
        <v>97.26121961435244</v>
      </c>
    </row>
    <row r="397" spans="1:13" ht="24">
      <c r="A397" s="130" t="s">
        <v>1312</v>
      </c>
      <c r="B397" s="184" t="s">
        <v>781</v>
      </c>
      <c r="C397" s="124" t="s">
        <v>1594</v>
      </c>
      <c r="D397" s="124" t="s">
        <v>1064</v>
      </c>
      <c r="E397" s="124" t="s">
        <v>1356</v>
      </c>
      <c r="F397" s="124" t="s">
        <v>1704</v>
      </c>
      <c r="G397" s="132">
        <f>G398+G401+G403</f>
        <v>12221.8</v>
      </c>
      <c r="H397" s="132">
        <f>H398</f>
        <v>12098.199999999997</v>
      </c>
      <c r="I397" s="132">
        <f>I398+I401+I403</f>
        <v>0</v>
      </c>
      <c r="J397" s="132">
        <f>J398+J401+J403</f>
        <v>0</v>
      </c>
      <c r="K397" s="132">
        <f>K398</f>
        <v>11766.3</v>
      </c>
      <c r="L397" s="604">
        <f t="shared" si="29"/>
        <v>96.27305306910601</v>
      </c>
      <c r="M397" s="605">
        <f aca="true" t="shared" si="30" ref="M397:M460">K397/H397*100</f>
        <v>97.25661668677988</v>
      </c>
    </row>
    <row r="398" spans="1:13" ht="15.75" customHeight="1">
      <c r="A398" s="130" t="s">
        <v>1406</v>
      </c>
      <c r="B398" s="184" t="s">
        <v>781</v>
      </c>
      <c r="C398" s="124" t="s">
        <v>1594</v>
      </c>
      <c r="D398" s="124" t="s">
        <v>1064</v>
      </c>
      <c r="E398" s="124" t="s">
        <v>1356</v>
      </c>
      <c r="F398" s="124" t="s">
        <v>1619</v>
      </c>
      <c r="G398" s="135">
        <f>11427.4</f>
        <v>11427.4</v>
      </c>
      <c r="H398" s="135">
        <f>11427.4+400+30.8+8000+240-8000</f>
        <v>12098.199999999997</v>
      </c>
      <c r="K398" s="135">
        <v>11766.3</v>
      </c>
      <c r="L398" s="604">
        <f t="shared" si="29"/>
        <v>102.96567898209565</v>
      </c>
      <c r="M398" s="605">
        <f t="shared" si="30"/>
        <v>97.25661668677988</v>
      </c>
    </row>
    <row r="399" spans="1:13" ht="36">
      <c r="A399" s="130" t="s">
        <v>1492</v>
      </c>
      <c r="B399" s="184" t="s">
        <v>781</v>
      </c>
      <c r="C399" s="124" t="s">
        <v>1594</v>
      </c>
      <c r="D399" s="124" t="s">
        <v>1064</v>
      </c>
      <c r="E399" s="124" t="s">
        <v>1365</v>
      </c>
      <c r="F399" s="124"/>
      <c r="G399" s="132">
        <f>G400</f>
        <v>444.4</v>
      </c>
      <c r="H399" s="132">
        <f>H400</f>
        <v>444.4</v>
      </c>
      <c r="K399" s="132">
        <f>K400</f>
        <v>423.2</v>
      </c>
      <c r="L399" s="604">
        <f t="shared" si="29"/>
        <v>95.22952295229523</v>
      </c>
      <c r="M399" s="605">
        <f t="shared" si="30"/>
        <v>95.22952295229523</v>
      </c>
    </row>
    <row r="400" spans="1:13" ht="24">
      <c r="A400" s="130" t="s">
        <v>1312</v>
      </c>
      <c r="B400" s="184" t="s">
        <v>781</v>
      </c>
      <c r="C400" s="124" t="s">
        <v>1594</v>
      </c>
      <c r="D400" s="124" t="s">
        <v>1064</v>
      </c>
      <c r="E400" s="124" t="s">
        <v>1365</v>
      </c>
      <c r="F400" s="124" t="s">
        <v>1704</v>
      </c>
      <c r="G400" s="132">
        <f>G401</f>
        <v>444.4</v>
      </c>
      <c r="H400" s="132">
        <f>H401</f>
        <v>444.4</v>
      </c>
      <c r="K400" s="132">
        <f>K401</f>
        <v>423.2</v>
      </c>
      <c r="L400" s="604">
        <f t="shared" si="29"/>
        <v>95.22952295229523</v>
      </c>
      <c r="M400" s="605">
        <f t="shared" si="30"/>
        <v>95.22952295229523</v>
      </c>
    </row>
    <row r="401" spans="1:13" ht="18.75" customHeight="1">
      <c r="A401" s="130" t="s">
        <v>1406</v>
      </c>
      <c r="B401" s="184" t="s">
        <v>781</v>
      </c>
      <c r="C401" s="124" t="s">
        <v>1594</v>
      </c>
      <c r="D401" s="124" t="s">
        <v>1064</v>
      </c>
      <c r="E401" s="124" t="s">
        <v>1365</v>
      </c>
      <c r="F401" s="124" t="s">
        <v>1619</v>
      </c>
      <c r="G401" s="135">
        <v>444.4</v>
      </c>
      <c r="H401" s="135">
        <v>444.4</v>
      </c>
      <c r="K401" s="135">
        <v>423.2</v>
      </c>
      <c r="L401" s="604">
        <f t="shared" si="29"/>
        <v>95.22952295229523</v>
      </c>
      <c r="M401" s="605">
        <f t="shared" si="30"/>
        <v>95.22952295229523</v>
      </c>
    </row>
    <row r="402" spans="1:13" ht="36">
      <c r="A402" s="130" t="s">
        <v>1493</v>
      </c>
      <c r="B402" s="184" t="s">
        <v>781</v>
      </c>
      <c r="C402" s="124" t="s">
        <v>1594</v>
      </c>
      <c r="D402" s="124" t="s">
        <v>1064</v>
      </c>
      <c r="E402" s="124" t="s">
        <v>1366</v>
      </c>
      <c r="F402" s="124"/>
      <c r="G402" s="132">
        <f>G403</f>
        <v>350</v>
      </c>
      <c r="H402" s="132">
        <f>H403</f>
        <v>350</v>
      </c>
      <c r="K402" s="132">
        <f>K403</f>
        <v>350</v>
      </c>
      <c r="L402" s="604">
        <f t="shared" si="29"/>
        <v>100</v>
      </c>
      <c r="M402" s="605">
        <f t="shared" si="30"/>
        <v>100</v>
      </c>
    </row>
    <row r="403" spans="1:13" ht="24">
      <c r="A403" s="130" t="s">
        <v>1312</v>
      </c>
      <c r="B403" s="184" t="s">
        <v>781</v>
      </c>
      <c r="C403" s="124" t="s">
        <v>1594</v>
      </c>
      <c r="D403" s="124" t="s">
        <v>1064</v>
      </c>
      <c r="E403" s="124" t="s">
        <v>1366</v>
      </c>
      <c r="F403" s="124" t="s">
        <v>1704</v>
      </c>
      <c r="G403" s="132">
        <f>G404</f>
        <v>350</v>
      </c>
      <c r="H403" s="132">
        <f>H404</f>
        <v>350</v>
      </c>
      <c r="K403" s="132">
        <f>K404</f>
        <v>350</v>
      </c>
      <c r="L403" s="604">
        <f t="shared" si="29"/>
        <v>100</v>
      </c>
      <c r="M403" s="605">
        <f t="shared" si="30"/>
        <v>100</v>
      </c>
    </row>
    <row r="404" spans="1:13" ht="18" customHeight="1">
      <c r="A404" s="130" t="s">
        <v>1406</v>
      </c>
      <c r="B404" s="184" t="s">
        <v>781</v>
      </c>
      <c r="C404" s="124" t="s">
        <v>1594</v>
      </c>
      <c r="D404" s="124" t="s">
        <v>1064</v>
      </c>
      <c r="E404" s="124" t="s">
        <v>1366</v>
      </c>
      <c r="F404" s="124" t="s">
        <v>1619</v>
      </c>
      <c r="G404" s="135">
        <v>350</v>
      </c>
      <c r="H404" s="135">
        <v>350</v>
      </c>
      <c r="K404" s="135">
        <v>350</v>
      </c>
      <c r="L404" s="604">
        <f t="shared" si="29"/>
        <v>100</v>
      </c>
      <c r="M404" s="605">
        <f t="shared" si="30"/>
        <v>100</v>
      </c>
    </row>
    <row r="405" spans="1:13" ht="24">
      <c r="A405" s="130" t="s">
        <v>1359</v>
      </c>
      <c r="B405" s="184" t="s">
        <v>781</v>
      </c>
      <c r="C405" s="124" t="s">
        <v>1594</v>
      </c>
      <c r="D405" s="124" t="s">
        <v>1064</v>
      </c>
      <c r="E405" s="124" t="s">
        <v>1223</v>
      </c>
      <c r="F405" s="124"/>
      <c r="G405" s="132">
        <f>G406</f>
        <v>500</v>
      </c>
      <c r="H405" s="132">
        <f>H406</f>
        <v>500</v>
      </c>
      <c r="K405" s="132">
        <f>K406</f>
        <v>183.6</v>
      </c>
      <c r="L405" s="604">
        <f t="shared" si="29"/>
        <v>36.72</v>
      </c>
      <c r="M405" s="605">
        <f t="shared" si="30"/>
        <v>36.72</v>
      </c>
    </row>
    <row r="406" spans="1:18" ht="24">
      <c r="A406" s="130" t="s">
        <v>1312</v>
      </c>
      <c r="B406" s="184" t="s">
        <v>781</v>
      </c>
      <c r="C406" s="124" t="s">
        <v>1594</v>
      </c>
      <c r="D406" s="124" t="s">
        <v>1064</v>
      </c>
      <c r="E406" s="124" t="s">
        <v>1360</v>
      </c>
      <c r="F406" s="124" t="s">
        <v>1704</v>
      </c>
      <c r="G406" s="132">
        <f>G407</f>
        <v>500</v>
      </c>
      <c r="H406" s="132">
        <f>H407</f>
        <v>500</v>
      </c>
      <c r="K406" s="132">
        <f>K407</f>
        <v>183.6</v>
      </c>
      <c r="L406" s="604">
        <f t="shared" si="29"/>
        <v>36.72</v>
      </c>
      <c r="M406" s="605">
        <f t="shared" si="30"/>
        <v>36.72</v>
      </c>
      <c r="N406" s="49"/>
      <c r="O406" s="49"/>
      <c r="P406" s="49"/>
      <c r="Q406" s="49"/>
      <c r="R406" s="49"/>
    </row>
    <row r="407" spans="1:18" ht="16.5" customHeight="1">
      <c r="A407" s="130" t="s">
        <v>1406</v>
      </c>
      <c r="B407" s="184" t="s">
        <v>781</v>
      </c>
      <c r="C407" s="124" t="s">
        <v>1594</v>
      </c>
      <c r="D407" s="124" t="s">
        <v>1064</v>
      </c>
      <c r="E407" s="124" t="s">
        <v>1360</v>
      </c>
      <c r="F407" s="124" t="s">
        <v>1619</v>
      </c>
      <c r="G407" s="135">
        <v>500</v>
      </c>
      <c r="H407" s="135">
        <v>500</v>
      </c>
      <c r="K407" s="135">
        <v>183.6</v>
      </c>
      <c r="L407" s="604">
        <f t="shared" si="29"/>
        <v>36.72</v>
      </c>
      <c r="M407" s="605">
        <f t="shared" si="30"/>
        <v>36.72</v>
      </c>
      <c r="N407" s="49"/>
      <c r="O407" s="49"/>
      <c r="P407" s="49"/>
      <c r="Q407" s="49"/>
      <c r="R407" s="49"/>
    </row>
    <row r="408" spans="1:13" ht="24">
      <c r="A408" s="129" t="s">
        <v>1004</v>
      </c>
      <c r="B408" s="184" t="s">
        <v>781</v>
      </c>
      <c r="C408" s="124" t="s">
        <v>1594</v>
      </c>
      <c r="D408" s="124" t="s">
        <v>1064</v>
      </c>
      <c r="E408" s="124" t="s">
        <v>1357</v>
      </c>
      <c r="F408" s="124"/>
      <c r="G408" s="132">
        <f>G409+G416+G420+G422+G424+G426</f>
        <v>235105</v>
      </c>
      <c r="H408" s="132">
        <f>H409+H416+H420+H422+H424+H426</f>
        <v>235817.19999999998</v>
      </c>
      <c r="K408" s="132">
        <f>K409+K416+K420+K422+K424+K426</f>
        <v>229979.7</v>
      </c>
      <c r="L408" s="604">
        <f t="shared" si="29"/>
        <v>97.81999532123945</v>
      </c>
      <c r="M408" s="605">
        <f t="shared" si="30"/>
        <v>97.52456563812989</v>
      </c>
    </row>
    <row r="409" spans="1:13" ht="15">
      <c r="A409" s="134" t="s">
        <v>113</v>
      </c>
      <c r="B409" s="184" t="s">
        <v>781</v>
      </c>
      <c r="C409" s="124" t="s">
        <v>1594</v>
      </c>
      <c r="D409" s="124" t="s">
        <v>1064</v>
      </c>
      <c r="E409" s="124" t="s">
        <v>1361</v>
      </c>
      <c r="F409" s="124"/>
      <c r="G409" s="132">
        <f>G410+G412+G414</f>
        <v>216751.19999999998</v>
      </c>
      <c r="H409" s="132">
        <f>H410+H412+H414</f>
        <v>218530.3</v>
      </c>
      <c r="K409" s="132">
        <f>K410+K412+K414</f>
        <v>213125.1</v>
      </c>
      <c r="L409" s="604">
        <f t="shared" si="29"/>
        <v>98.32706808543622</v>
      </c>
      <c r="M409" s="605">
        <f t="shared" si="30"/>
        <v>97.52656725406042</v>
      </c>
    </row>
    <row r="410" spans="1:13" ht="48">
      <c r="A410" s="130" t="s">
        <v>1311</v>
      </c>
      <c r="B410" s="184" t="s">
        <v>781</v>
      </c>
      <c r="C410" s="124" t="s">
        <v>1594</v>
      </c>
      <c r="D410" s="124" t="s">
        <v>1064</v>
      </c>
      <c r="E410" s="124" t="s">
        <v>1361</v>
      </c>
      <c r="F410" s="124" t="s">
        <v>1462</v>
      </c>
      <c r="G410" s="132">
        <f>G411</f>
        <v>198590.9</v>
      </c>
      <c r="H410" s="132">
        <f>H411</f>
        <v>198590.8</v>
      </c>
      <c r="K410" s="132">
        <f>K411</f>
        <v>193981.4</v>
      </c>
      <c r="L410" s="604">
        <f t="shared" si="29"/>
        <v>97.67889666646357</v>
      </c>
      <c r="M410" s="605">
        <f t="shared" si="30"/>
        <v>97.67894585247655</v>
      </c>
    </row>
    <row r="411" spans="1:18" s="33" customFormat="1" ht="22.5" customHeight="1">
      <c r="A411" s="130" t="s">
        <v>1039</v>
      </c>
      <c r="B411" s="184" t="s">
        <v>781</v>
      </c>
      <c r="C411" s="124" t="s">
        <v>1594</v>
      </c>
      <c r="D411" s="124" t="s">
        <v>1064</v>
      </c>
      <c r="E411" s="124" t="s">
        <v>1361</v>
      </c>
      <c r="F411" s="124" t="s">
        <v>1432</v>
      </c>
      <c r="G411" s="135">
        <f>198860.9-270</f>
        <v>198590.9</v>
      </c>
      <c r="H411" s="135">
        <f>198860.8-270</f>
        <v>198590.8</v>
      </c>
      <c r="K411" s="135">
        <v>193981.4</v>
      </c>
      <c r="L411" s="604">
        <f t="shared" si="29"/>
        <v>97.67889666646357</v>
      </c>
      <c r="M411" s="605">
        <f t="shared" si="30"/>
        <v>97.67894585247655</v>
      </c>
      <c r="N411" s="40"/>
      <c r="O411" s="40"/>
      <c r="P411" s="40"/>
      <c r="Q411" s="40"/>
      <c r="R411" s="40"/>
    </row>
    <row r="412" spans="1:13" ht="24">
      <c r="A412" s="130" t="s">
        <v>1312</v>
      </c>
      <c r="B412" s="184" t="s">
        <v>781</v>
      </c>
      <c r="C412" s="124" t="s">
        <v>1594</v>
      </c>
      <c r="D412" s="124" t="s">
        <v>1064</v>
      </c>
      <c r="E412" s="124" t="s">
        <v>1361</v>
      </c>
      <c r="F412" s="124" t="s">
        <v>1704</v>
      </c>
      <c r="G412" s="132">
        <f>G413</f>
        <v>18150.3</v>
      </c>
      <c r="H412" s="132">
        <f>H413</f>
        <v>19932.5</v>
      </c>
      <c r="K412" s="132">
        <f>K413</f>
        <v>19140.5</v>
      </c>
      <c r="L412" s="604">
        <f t="shared" si="29"/>
        <v>105.45555720842079</v>
      </c>
      <c r="M412" s="605">
        <f t="shared" si="30"/>
        <v>96.02658974037375</v>
      </c>
    </row>
    <row r="413" spans="1:13" ht="17.25" customHeight="1">
      <c r="A413" s="130" t="s">
        <v>1406</v>
      </c>
      <c r="B413" s="184" t="s">
        <v>781</v>
      </c>
      <c r="C413" s="124" t="s">
        <v>1594</v>
      </c>
      <c r="D413" s="124" t="s">
        <v>1064</v>
      </c>
      <c r="E413" s="124" t="s">
        <v>1361</v>
      </c>
      <c r="F413" s="124" t="s">
        <v>1619</v>
      </c>
      <c r="G413" s="135">
        <f>18650.3-500</f>
        <v>18150.3</v>
      </c>
      <c r="H413" s="135">
        <f>18650.3-500+546.9+300+935.3</f>
        <v>19932.5</v>
      </c>
      <c r="K413" s="135">
        <v>19140.5</v>
      </c>
      <c r="L413" s="604">
        <f t="shared" si="29"/>
        <v>105.45555720842079</v>
      </c>
      <c r="M413" s="605">
        <f t="shared" si="30"/>
        <v>96.02658974037375</v>
      </c>
    </row>
    <row r="414" spans="1:13" ht="18" customHeight="1">
      <c r="A414" s="130" t="s">
        <v>910</v>
      </c>
      <c r="B414" s="184" t="s">
        <v>781</v>
      </c>
      <c r="C414" s="124" t="s">
        <v>1594</v>
      </c>
      <c r="D414" s="124" t="s">
        <v>1064</v>
      </c>
      <c r="E414" s="124" t="s">
        <v>1361</v>
      </c>
      <c r="F414" s="124" t="s">
        <v>911</v>
      </c>
      <c r="G414" s="132">
        <f>G415</f>
        <v>10</v>
      </c>
      <c r="H414" s="132">
        <f>H415</f>
        <v>7</v>
      </c>
      <c r="K414" s="132">
        <f>K415</f>
        <v>3.2</v>
      </c>
      <c r="L414" s="604">
        <f t="shared" si="29"/>
        <v>32</v>
      </c>
      <c r="M414" s="605">
        <f t="shared" si="30"/>
        <v>45.714285714285715</v>
      </c>
    </row>
    <row r="415" spans="1:13" ht="21" customHeight="1">
      <c r="A415" s="130" t="s">
        <v>589</v>
      </c>
      <c r="B415" s="184" t="s">
        <v>781</v>
      </c>
      <c r="C415" s="124" t="s">
        <v>1594</v>
      </c>
      <c r="D415" s="124" t="s">
        <v>1064</v>
      </c>
      <c r="E415" s="124" t="s">
        <v>1361</v>
      </c>
      <c r="F415" s="124" t="s">
        <v>590</v>
      </c>
      <c r="G415" s="135">
        <v>10</v>
      </c>
      <c r="H415" s="135">
        <f>10-3</f>
        <v>7</v>
      </c>
      <c r="K415" s="135">
        <v>3.2</v>
      </c>
      <c r="L415" s="604">
        <f t="shared" si="29"/>
        <v>32</v>
      </c>
      <c r="M415" s="605">
        <f t="shared" si="30"/>
        <v>45.714285714285715</v>
      </c>
    </row>
    <row r="416" spans="1:13" ht="19.5" customHeight="1">
      <c r="A416" s="130" t="s">
        <v>910</v>
      </c>
      <c r="B416" s="184" t="s">
        <v>781</v>
      </c>
      <c r="C416" s="124" t="s">
        <v>1594</v>
      </c>
      <c r="D416" s="124" t="s">
        <v>1064</v>
      </c>
      <c r="E416" s="124" t="s">
        <v>1362</v>
      </c>
      <c r="F416" s="124" t="s">
        <v>911</v>
      </c>
      <c r="G416" s="132">
        <f>G417</f>
        <v>5524.2</v>
      </c>
      <c r="H416" s="132">
        <f>H417</f>
        <v>6457.3</v>
      </c>
      <c r="K416" s="132">
        <f>K417</f>
        <v>6457.1</v>
      </c>
      <c r="L416" s="604">
        <f t="shared" si="29"/>
        <v>116.88751312407229</v>
      </c>
      <c r="M416" s="605">
        <f t="shared" si="30"/>
        <v>99.99690273024329</v>
      </c>
    </row>
    <row r="417" spans="1:13" ht="18" customHeight="1">
      <c r="A417" s="130" t="s">
        <v>589</v>
      </c>
      <c r="B417" s="184" t="s">
        <v>781</v>
      </c>
      <c r="C417" s="124" t="s">
        <v>1594</v>
      </c>
      <c r="D417" s="124" t="s">
        <v>1064</v>
      </c>
      <c r="E417" s="124" t="s">
        <v>1362</v>
      </c>
      <c r="F417" s="124" t="s">
        <v>590</v>
      </c>
      <c r="G417" s="135">
        <f>5524.2</f>
        <v>5524.2</v>
      </c>
      <c r="H417" s="135">
        <f>5524.3+930+3</f>
        <v>6457.3</v>
      </c>
      <c r="K417" s="135">
        <v>6457.1</v>
      </c>
      <c r="L417" s="604">
        <f t="shared" si="29"/>
        <v>116.88751312407229</v>
      </c>
      <c r="M417" s="605">
        <f t="shared" si="30"/>
        <v>99.99690273024329</v>
      </c>
    </row>
    <row r="418" spans="1:13" ht="36">
      <c r="A418" s="130" t="s">
        <v>1492</v>
      </c>
      <c r="B418" s="184" t="s">
        <v>781</v>
      </c>
      <c r="C418" s="124" t="s">
        <v>1594</v>
      </c>
      <c r="D418" s="124" t="s">
        <v>1064</v>
      </c>
      <c r="E418" s="124" t="s">
        <v>1363</v>
      </c>
      <c r="F418" s="124"/>
      <c r="G418" s="132">
        <f>G419+G421</f>
        <v>8497.6</v>
      </c>
      <c r="H418" s="132">
        <f>H419+H421</f>
        <v>6497.6</v>
      </c>
      <c r="K418" s="132">
        <f>K419+K421</f>
        <v>6132.2</v>
      </c>
      <c r="L418" s="604">
        <f t="shared" si="29"/>
        <v>72.1639051026172</v>
      </c>
      <c r="M418" s="605">
        <f t="shared" si="30"/>
        <v>94.37638512681605</v>
      </c>
    </row>
    <row r="419" spans="1:13" ht="48">
      <c r="A419" s="130" t="s">
        <v>1311</v>
      </c>
      <c r="B419" s="184" t="s">
        <v>781</v>
      </c>
      <c r="C419" s="124" t="s">
        <v>1594</v>
      </c>
      <c r="D419" s="124" t="s">
        <v>1064</v>
      </c>
      <c r="E419" s="124" t="s">
        <v>1363</v>
      </c>
      <c r="F419" s="124" t="s">
        <v>1462</v>
      </c>
      <c r="G419" s="132">
        <f>G420</f>
        <v>5771.1</v>
      </c>
      <c r="H419" s="132">
        <f>H420</f>
        <v>5771.1</v>
      </c>
      <c r="K419" s="132">
        <f>K420</f>
        <v>5747.2</v>
      </c>
      <c r="L419" s="604">
        <f t="shared" si="29"/>
        <v>99.58586751225936</v>
      </c>
      <c r="M419" s="605">
        <f t="shared" si="30"/>
        <v>99.58586751225936</v>
      </c>
    </row>
    <row r="420" spans="1:13" ht="32.25" customHeight="1">
      <c r="A420" s="130" t="s">
        <v>1039</v>
      </c>
      <c r="B420" s="184" t="s">
        <v>781</v>
      </c>
      <c r="C420" s="124" t="s">
        <v>1594</v>
      </c>
      <c r="D420" s="124" t="s">
        <v>1064</v>
      </c>
      <c r="E420" s="124" t="s">
        <v>1363</v>
      </c>
      <c r="F420" s="124" t="s">
        <v>1432</v>
      </c>
      <c r="G420" s="135">
        <v>5771.1</v>
      </c>
      <c r="H420" s="135">
        <v>5771.1</v>
      </c>
      <c r="K420" s="135">
        <v>5747.2</v>
      </c>
      <c r="L420" s="604">
        <f t="shared" si="29"/>
        <v>99.58586751225936</v>
      </c>
      <c r="M420" s="605">
        <f t="shared" si="30"/>
        <v>99.58586751225936</v>
      </c>
    </row>
    <row r="421" spans="1:13" ht="24">
      <c r="A421" s="130" t="s">
        <v>1312</v>
      </c>
      <c r="B421" s="184" t="s">
        <v>781</v>
      </c>
      <c r="C421" s="124" t="s">
        <v>1594</v>
      </c>
      <c r="D421" s="124" t="s">
        <v>1064</v>
      </c>
      <c r="E421" s="124" t="s">
        <v>1363</v>
      </c>
      <c r="F421" s="124" t="s">
        <v>1704</v>
      </c>
      <c r="G421" s="132">
        <f>G422</f>
        <v>2726.5</v>
      </c>
      <c r="H421" s="132">
        <f>H422</f>
        <v>726.5</v>
      </c>
      <c r="K421" s="132">
        <f>K422</f>
        <v>385</v>
      </c>
      <c r="L421" s="604">
        <f t="shared" si="29"/>
        <v>14.120667522464696</v>
      </c>
      <c r="M421" s="605">
        <f t="shared" si="30"/>
        <v>52.993805918788716</v>
      </c>
    </row>
    <row r="422" spans="1:13" ht="17.25" customHeight="1">
      <c r="A422" s="130" t="s">
        <v>1406</v>
      </c>
      <c r="B422" s="184" t="s">
        <v>781</v>
      </c>
      <c r="C422" s="124" t="s">
        <v>1594</v>
      </c>
      <c r="D422" s="124" t="s">
        <v>1064</v>
      </c>
      <c r="E422" s="124" t="s">
        <v>1363</v>
      </c>
      <c r="F422" s="124" t="s">
        <v>1619</v>
      </c>
      <c r="G422" s="135">
        <v>2726.5</v>
      </c>
      <c r="H422" s="135">
        <v>726.5</v>
      </c>
      <c r="K422" s="135">
        <v>385</v>
      </c>
      <c r="L422" s="604">
        <f t="shared" si="29"/>
        <v>14.120667522464696</v>
      </c>
      <c r="M422" s="605">
        <f t="shared" si="30"/>
        <v>52.993805918788716</v>
      </c>
    </row>
    <row r="423" spans="1:13" ht="36">
      <c r="A423" s="130" t="s">
        <v>1493</v>
      </c>
      <c r="B423" s="184" t="s">
        <v>781</v>
      </c>
      <c r="C423" s="124" t="s">
        <v>1594</v>
      </c>
      <c r="D423" s="124" t="s">
        <v>1064</v>
      </c>
      <c r="E423" s="124" t="s">
        <v>1364</v>
      </c>
      <c r="F423" s="124"/>
      <c r="G423" s="132">
        <f>G424+G426</f>
        <v>4332</v>
      </c>
      <c r="H423" s="132">
        <f>H424+H426</f>
        <v>4332</v>
      </c>
      <c r="K423" s="132">
        <f>K424+K426</f>
        <v>4265.3</v>
      </c>
      <c r="L423" s="604">
        <f t="shared" si="29"/>
        <v>98.46029547553094</v>
      </c>
      <c r="M423" s="605">
        <f t="shared" si="30"/>
        <v>98.46029547553094</v>
      </c>
    </row>
    <row r="424" spans="1:13" ht="48">
      <c r="A424" s="130" t="s">
        <v>1311</v>
      </c>
      <c r="B424" s="184" t="s">
        <v>781</v>
      </c>
      <c r="C424" s="124" t="s">
        <v>1594</v>
      </c>
      <c r="D424" s="124" t="s">
        <v>1064</v>
      </c>
      <c r="E424" s="124" t="s">
        <v>1364</v>
      </c>
      <c r="F424" s="124" t="s">
        <v>1462</v>
      </c>
      <c r="G424" s="132">
        <f>G425</f>
        <v>3994</v>
      </c>
      <c r="H424" s="132">
        <f>H425</f>
        <v>3994</v>
      </c>
      <c r="K424" s="132">
        <f>K425</f>
        <v>3927.3</v>
      </c>
      <c r="L424" s="604">
        <f t="shared" si="29"/>
        <v>98.32999499248874</v>
      </c>
      <c r="M424" s="605">
        <f t="shared" si="30"/>
        <v>98.32999499248874</v>
      </c>
    </row>
    <row r="425" spans="1:13" ht="23.25" customHeight="1">
      <c r="A425" s="130" t="s">
        <v>1039</v>
      </c>
      <c r="B425" s="184" t="s">
        <v>781</v>
      </c>
      <c r="C425" s="124" t="s">
        <v>1594</v>
      </c>
      <c r="D425" s="124" t="s">
        <v>1064</v>
      </c>
      <c r="E425" s="124" t="s">
        <v>1364</v>
      </c>
      <c r="F425" s="124" t="s">
        <v>1432</v>
      </c>
      <c r="G425" s="135">
        <v>3994</v>
      </c>
      <c r="H425" s="135">
        <v>3994</v>
      </c>
      <c r="K425" s="135">
        <v>3927.3</v>
      </c>
      <c r="L425" s="604">
        <f t="shared" si="29"/>
        <v>98.32999499248874</v>
      </c>
      <c r="M425" s="605">
        <f t="shared" si="30"/>
        <v>98.32999499248874</v>
      </c>
    </row>
    <row r="426" spans="1:13" ht="24">
      <c r="A426" s="130" t="s">
        <v>1312</v>
      </c>
      <c r="B426" s="184" t="s">
        <v>781</v>
      </c>
      <c r="C426" s="124" t="s">
        <v>1594</v>
      </c>
      <c r="D426" s="124" t="s">
        <v>1064</v>
      </c>
      <c r="E426" s="124" t="s">
        <v>1364</v>
      </c>
      <c r="F426" s="124" t="s">
        <v>1704</v>
      </c>
      <c r="G426" s="132">
        <f>G427</f>
        <v>338</v>
      </c>
      <c r="H426" s="132">
        <f>H427</f>
        <v>338</v>
      </c>
      <c r="K426" s="132">
        <f>K427</f>
        <v>338</v>
      </c>
      <c r="L426" s="604">
        <f t="shared" si="29"/>
        <v>100</v>
      </c>
      <c r="M426" s="605">
        <f t="shared" si="30"/>
        <v>100</v>
      </c>
    </row>
    <row r="427" spans="1:13" ht="16.5" customHeight="1">
      <c r="A427" s="130" t="s">
        <v>1406</v>
      </c>
      <c r="B427" s="184" t="s">
        <v>781</v>
      </c>
      <c r="C427" s="124" t="s">
        <v>1594</v>
      </c>
      <c r="D427" s="124" t="s">
        <v>1064</v>
      </c>
      <c r="E427" s="124" t="s">
        <v>1364</v>
      </c>
      <c r="F427" s="124" t="s">
        <v>1619</v>
      </c>
      <c r="G427" s="135">
        <v>338</v>
      </c>
      <c r="H427" s="135">
        <v>338</v>
      </c>
      <c r="K427" s="135">
        <v>338</v>
      </c>
      <c r="L427" s="604">
        <f t="shared" si="29"/>
        <v>100</v>
      </c>
      <c r="M427" s="605">
        <f t="shared" si="30"/>
        <v>100</v>
      </c>
    </row>
    <row r="428" spans="1:13" ht="15">
      <c r="A428" s="129" t="s">
        <v>1367</v>
      </c>
      <c r="B428" s="184" t="s">
        <v>781</v>
      </c>
      <c r="C428" s="124" t="s">
        <v>1594</v>
      </c>
      <c r="D428" s="124" t="s">
        <v>1064</v>
      </c>
      <c r="E428" s="124" t="s">
        <v>1368</v>
      </c>
      <c r="F428" s="124"/>
      <c r="G428" s="132">
        <f>G430+G432</f>
        <v>4836</v>
      </c>
      <c r="H428" s="132">
        <f>H430+H432</f>
        <v>4836</v>
      </c>
      <c r="K428" s="132">
        <f>K430+K432</f>
        <v>4835.5</v>
      </c>
      <c r="L428" s="604">
        <f t="shared" si="29"/>
        <v>99.98966087675765</v>
      </c>
      <c r="M428" s="605">
        <f t="shared" si="30"/>
        <v>99.98966087675765</v>
      </c>
    </row>
    <row r="429" spans="1:13" ht="60">
      <c r="A429" s="129" t="s">
        <v>626</v>
      </c>
      <c r="B429" s="184" t="s">
        <v>781</v>
      </c>
      <c r="C429" s="124" t="s">
        <v>1594</v>
      </c>
      <c r="D429" s="124" t="s">
        <v>1064</v>
      </c>
      <c r="E429" s="124" t="s">
        <v>1369</v>
      </c>
      <c r="F429" s="124"/>
      <c r="G429" s="132">
        <f>G430+G432</f>
        <v>4836</v>
      </c>
      <c r="H429" s="132">
        <f>H430+H432</f>
        <v>4836</v>
      </c>
      <c r="K429" s="132">
        <f>K430+K432</f>
        <v>4835.5</v>
      </c>
      <c r="L429" s="604">
        <f t="shared" si="29"/>
        <v>99.98966087675765</v>
      </c>
      <c r="M429" s="605">
        <f t="shared" si="30"/>
        <v>99.98966087675765</v>
      </c>
    </row>
    <row r="430" spans="1:13" ht="48">
      <c r="A430" s="130" t="s">
        <v>1311</v>
      </c>
      <c r="B430" s="184" t="s">
        <v>781</v>
      </c>
      <c r="C430" s="124" t="s">
        <v>1594</v>
      </c>
      <c r="D430" s="124" t="s">
        <v>1064</v>
      </c>
      <c r="E430" s="124" t="s">
        <v>1369</v>
      </c>
      <c r="F430" s="124" t="s">
        <v>1462</v>
      </c>
      <c r="G430" s="132">
        <f>G431</f>
        <v>4053.8</v>
      </c>
      <c r="H430" s="132">
        <f>H431</f>
        <v>4053.8</v>
      </c>
      <c r="K430" s="132">
        <f>K431</f>
        <v>4053.3</v>
      </c>
      <c r="L430" s="604">
        <f t="shared" si="29"/>
        <v>99.98766589372934</v>
      </c>
      <c r="M430" s="605">
        <f t="shared" si="30"/>
        <v>99.98766589372934</v>
      </c>
    </row>
    <row r="431" spans="1:13" ht="24">
      <c r="A431" s="130" t="s">
        <v>1039</v>
      </c>
      <c r="B431" s="184" t="s">
        <v>781</v>
      </c>
      <c r="C431" s="124" t="s">
        <v>1594</v>
      </c>
      <c r="D431" s="124" t="s">
        <v>1064</v>
      </c>
      <c r="E431" s="124" t="s">
        <v>1369</v>
      </c>
      <c r="F431" s="124" t="s">
        <v>1432</v>
      </c>
      <c r="G431" s="135">
        <v>4053.8</v>
      </c>
      <c r="H431" s="135">
        <v>4053.8</v>
      </c>
      <c r="K431" s="135">
        <v>4053.3</v>
      </c>
      <c r="L431" s="604">
        <f t="shared" si="29"/>
        <v>99.98766589372934</v>
      </c>
      <c r="M431" s="605">
        <f t="shared" si="30"/>
        <v>99.98766589372934</v>
      </c>
    </row>
    <row r="432" spans="1:13" ht="24">
      <c r="A432" s="130" t="s">
        <v>1312</v>
      </c>
      <c r="B432" s="184" t="s">
        <v>781</v>
      </c>
      <c r="C432" s="124" t="s">
        <v>1594</v>
      </c>
      <c r="D432" s="124" t="s">
        <v>1064</v>
      </c>
      <c r="E432" s="124" t="s">
        <v>1369</v>
      </c>
      <c r="F432" s="124" t="s">
        <v>1704</v>
      </c>
      <c r="G432" s="132">
        <f>G433</f>
        <v>782.2</v>
      </c>
      <c r="H432" s="132">
        <f>H433</f>
        <v>782.2</v>
      </c>
      <c r="K432" s="132">
        <f>K433</f>
        <v>782.2</v>
      </c>
      <c r="L432" s="604">
        <f t="shared" si="29"/>
        <v>100</v>
      </c>
      <c r="M432" s="605">
        <f t="shared" si="30"/>
        <v>100</v>
      </c>
    </row>
    <row r="433" spans="1:13" ht="19.5" customHeight="1">
      <c r="A433" s="130" t="s">
        <v>1406</v>
      </c>
      <c r="B433" s="184" t="s">
        <v>781</v>
      </c>
      <c r="C433" s="124" t="s">
        <v>1594</v>
      </c>
      <c r="D433" s="124" t="s">
        <v>1064</v>
      </c>
      <c r="E433" s="124" t="s">
        <v>1369</v>
      </c>
      <c r="F433" s="124" t="s">
        <v>1619</v>
      </c>
      <c r="G433" s="135">
        <v>782.2</v>
      </c>
      <c r="H433" s="135">
        <v>782.2</v>
      </c>
      <c r="K433" s="135">
        <v>782.2</v>
      </c>
      <c r="L433" s="604">
        <f t="shared" si="29"/>
        <v>100</v>
      </c>
      <c r="M433" s="605">
        <f t="shared" si="30"/>
        <v>100</v>
      </c>
    </row>
    <row r="434" spans="1:13" ht="15">
      <c r="A434" s="139" t="s">
        <v>677</v>
      </c>
      <c r="B434" s="184" t="s">
        <v>781</v>
      </c>
      <c r="C434" s="124" t="s">
        <v>1594</v>
      </c>
      <c r="D434" s="124" t="s">
        <v>1625</v>
      </c>
      <c r="E434" s="124"/>
      <c r="F434" s="124"/>
      <c r="G434" s="132">
        <f aca="true" t="shared" si="31" ref="G434:H438">G435</f>
        <v>2087</v>
      </c>
      <c r="H434" s="132">
        <f t="shared" si="31"/>
        <v>5807</v>
      </c>
      <c r="K434" s="132">
        <f>K435</f>
        <v>5788.4</v>
      </c>
      <c r="L434" s="604">
        <f t="shared" si="29"/>
        <v>277.3550551030186</v>
      </c>
      <c r="M434" s="605">
        <f t="shared" si="30"/>
        <v>99.67969691751334</v>
      </c>
    </row>
    <row r="435" spans="1:13" ht="24">
      <c r="A435" s="137" t="s">
        <v>1454</v>
      </c>
      <c r="B435" s="184" t="s">
        <v>781</v>
      </c>
      <c r="C435" s="124" t="s">
        <v>1594</v>
      </c>
      <c r="D435" s="124" t="s">
        <v>1625</v>
      </c>
      <c r="E435" s="124" t="s">
        <v>123</v>
      </c>
      <c r="F435" s="124"/>
      <c r="G435" s="132">
        <f t="shared" si="31"/>
        <v>2087</v>
      </c>
      <c r="H435" s="132">
        <f t="shared" si="31"/>
        <v>5807</v>
      </c>
      <c r="K435" s="132">
        <f>K436</f>
        <v>5788.4</v>
      </c>
      <c r="L435" s="604">
        <f t="shared" si="29"/>
        <v>277.3550551030186</v>
      </c>
      <c r="M435" s="605">
        <f t="shared" si="30"/>
        <v>99.67969691751334</v>
      </c>
    </row>
    <row r="436" spans="1:13" ht="24">
      <c r="A436" s="129" t="s">
        <v>1004</v>
      </c>
      <c r="B436" s="184" t="s">
        <v>781</v>
      </c>
      <c r="C436" s="124" t="s">
        <v>1594</v>
      </c>
      <c r="D436" s="124" t="s">
        <v>1625</v>
      </c>
      <c r="E436" s="124" t="s">
        <v>1357</v>
      </c>
      <c r="F436" s="124"/>
      <c r="G436" s="132">
        <f t="shared" si="31"/>
        <v>2087</v>
      </c>
      <c r="H436" s="132">
        <f t="shared" si="31"/>
        <v>5807</v>
      </c>
      <c r="K436" s="132">
        <f>K437</f>
        <v>5788.4</v>
      </c>
      <c r="L436" s="604">
        <f t="shared" si="29"/>
        <v>277.3550551030186</v>
      </c>
      <c r="M436" s="605">
        <f t="shared" si="30"/>
        <v>99.67969691751334</v>
      </c>
    </row>
    <row r="437" spans="1:13" ht="15">
      <c r="A437" s="134" t="s">
        <v>847</v>
      </c>
      <c r="B437" s="184" t="s">
        <v>781</v>
      </c>
      <c r="C437" s="124" t="s">
        <v>1594</v>
      </c>
      <c r="D437" s="124" t="s">
        <v>1625</v>
      </c>
      <c r="E437" s="124" t="s">
        <v>1358</v>
      </c>
      <c r="F437" s="124"/>
      <c r="G437" s="132">
        <f t="shared" si="31"/>
        <v>2087</v>
      </c>
      <c r="H437" s="132">
        <f t="shared" si="31"/>
        <v>5807</v>
      </c>
      <c r="K437" s="132">
        <f>K438</f>
        <v>5788.4</v>
      </c>
      <c r="L437" s="604">
        <f t="shared" si="29"/>
        <v>277.3550551030186</v>
      </c>
      <c r="M437" s="605">
        <f t="shared" si="30"/>
        <v>99.67969691751334</v>
      </c>
    </row>
    <row r="438" spans="1:13" ht="17.25" customHeight="1">
      <c r="A438" s="130" t="s">
        <v>910</v>
      </c>
      <c r="B438" s="184" t="s">
        <v>781</v>
      </c>
      <c r="C438" s="124" t="s">
        <v>1594</v>
      </c>
      <c r="D438" s="124" t="s">
        <v>1625</v>
      </c>
      <c r="E438" s="124" t="s">
        <v>1358</v>
      </c>
      <c r="F438" s="124" t="s">
        <v>911</v>
      </c>
      <c r="G438" s="132">
        <f t="shared" si="31"/>
        <v>2087</v>
      </c>
      <c r="H438" s="132">
        <f t="shared" si="31"/>
        <v>5807</v>
      </c>
      <c r="K438" s="132">
        <f>K439</f>
        <v>5788.4</v>
      </c>
      <c r="L438" s="604">
        <f t="shared" si="29"/>
        <v>277.3550551030186</v>
      </c>
      <c r="M438" s="605">
        <f t="shared" si="30"/>
        <v>99.67969691751334</v>
      </c>
    </row>
    <row r="439" spans="1:13" ht="18.75" customHeight="1">
      <c r="A439" s="129" t="s">
        <v>912</v>
      </c>
      <c r="B439" s="184" t="s">
        <v>781</v>
      </c>
      <c r="C439" s="124" t="s">
        <v>1594</v>
      </c>
      <c r="D439" s="124" t="s">
        <v>1625</v>
      </c>
      <c r="E439" s="124" t="s">
        <v>1358</v>
      </c>
      <c r="F439" s="124" t="s">
        <v>913</v>
      </c>
      <c r="G439" s="135">
        <f>2087</f>
        <v>2087</v>
      </c>
      <c r="H439" s="135">
        <f>2087+4220-500</f>
        <v>5807</v>
      </c>
      <c r="K439" s="135">
        <v>5788.4</v>
      </c>
      <c r="L439" s="604">
        <f t="shared" si="29"/>
        <v>277.3550551030186</v>
      </c>
      <c r="M439" s="605">
        <f t="shared" si="30"/>
        <v>99.67969691751334</v>
      </c>
    </row>
    <row r="440" spans="1:13" ht="15">
      <c r="A440" s="133" t="s">
        <v>1518</v>
      </c>
      <c r="B440" s="184" t="s">
        <v>781</v>
      </c>
      <c r="C440" s="124" t="s">
        <v>1594</v>
      </c>
      <c r="D440" s="124" t="s">
        <v>1695</v>
      </c>
      <c r="E440" s="124"/>
      <c r="F440" s="124"/>
      <c r="G440" s="132">
        <f aca="true" t="shared" si="32" ref="G440:H443">G441</f>
        <v>7000</v>
      </c>
      <c r="H440" s="132">
        <f t="shared" si="32"/>
        <v>5199.999999999999</v>
      </c>
      <c r="K440" s="132">
        <f>K441</f>
        <v>0</v>
      </c>
      <c r="L440" s="604">
        <f t="shared" si="29"/>
        <v>0</v>
      </c>
      <c r="M440" s="605">
        <f t="shared" si="30"/>
        <v>0</v>
      </c>
    </row>
    <row r="441" spans="1:13" ht="15">
      <c r="A441" s="141" t="s">
        <v>1518</v>
      </c>
      <c r="B441" s="184" t="s">
        <v>781</v>
      </c>
      <c r="C441" s="124" t="s">
        <v>1594</v>
      </c>
      <c r="D441" s="124" t="s">
        <v>1695</v>
      </c>
      <c r="E441" s="124" t="s">
        <v>1244</v>
      </c>
      <c r="F441" s="124"/>
      <c r="G441" s="132">
        <f t="shared" si="32"/>
        <v>7000</v>
      </c>
      <c r="H441" s="132">
        <f t="shared" si="32"/>
        <v>5199.999999999999</v>
      </c>
      <c r="K441" s="132">
        <f>K442</f>
        <v>0</v>
      </c>
      <c r="L441" s="604">
        <f t="shared" si="29"/>
        <v>0</v>
      </c>
      <c r="M441" s="605">
        <f t="shared" si="30"/>
        <v>0</v>
      </c>
    </row>
    <row r="442" spans="1:13" ht="15">
      <c r="A442" s="134" t="s">
        <v>391</v>
      </c>
      <c r="B442" s="184" t="s">
        <v>781</v>
      </c>
      <c r="C442" s="124" t="s">
        <v>1594</v>
      </c>
      <c r="D442" s="124" t="s">
        <v>1695</v>
      </c>
      <c r="E442" s="124" t="s">
        <v>1245</v>
      </c>
      <c r="F442" s="124"/>
      <c r="G442" s="132">
        <f t="shared" si="32"/>
        <v>7000</v>
      </c>
      <c r="H442" s="132">
        <f t="shared" si="32"/>
        <v>5199.999999999999</v>
      </c>
      <c r="K442" s="132">
        <f>K443</f>
        <v>0</v>
      </c>
      <c r="L442" s="604">
        <f t="shared" si="29"/>
        <v>0</v>
      </c>
      <c r="M442" s="605">
        <f t="shared" si="30"/>
        <v>0</v>
      </c>
    </row>
    <row r="443" spans="1:13" ht="24">
      <c r="A443" s="130" t="s">
        <v>910</v>
      </c>
      <c r="B443" s="184" t="s">
        <v>781</v>
      </c>
      <c r="C443" s="124" t="s">
        <v>1594</v>
      </c>
      <c r="D443" s="124" t="s">
        <v>1695</v>
      </c>
      <c r="E443" s="124" t="s">
        <v>1245</v>
      </c>
      <c r="F443" s="124" t="s">
        <v>911</v>
      </c>
      <c r="G443" s="132">
        <f t="shared" si="32"/>
        <v>7000</v>
      </c>
      <c r="H443" s="132">
        <f t="shared" si="32"/>
        <v>5199.999999999999</v>
      </c>
      <c r="K443" s="132">
        <f>K444</f>
        <v>0</v>
      </c>
      <c r="L443" s="604">
        <f t="shared" si="29"/>
        <v>0</v>
      </c>
      <c r="M443" s="605">
        <f t="shared" si="30"/>
        <v>0</v>
      </c>
    </row>
    <row r="444" spans="1:13" ht="24">
      <c r="A444" s="134" t="s">
        <v>701</v>
      </c>
      <c r="B444" s="184" t="s">
        <v>781</v>
      </c>
      <c r="C444" s="124" t="s">
        <v>1594</v>
      </c>
      <c r="D444" s="124" t="s">
        <v>1695</v>
      </c>
      <c r="E444" s="124" t="s">
        <v>1245</v>
      </c>
      <c r="F444" s="124" t="s">
        <v>702</v>
      </c>
      <c r="G444" s="135">
        <v>7000</v>
      </c>
      <c r="H444" s="135">
        <f>7000-165-60-33.3-465-2167.9-480-18.8+3000-120-30-150-90-480-130-285-30-60-30-5</f>
        <v>5199.999999999999</v>
      </c>
      <c r="K444" s="135">
        <v>0</v>
      </c>
      <c r="L444" s="604">
        <f t="shared" si="29"/>
        <v>0</v>
      </c>
      <c r="M444" s="605">
        <f t="shared" si="30"/>
        <v>0</v>
      </c>
    </row>
    <row r="445" spans="1:13" ht="15">
      <c r="A445" s="133" t="s">
        <v>771</v>
      </c>
      <c r="B445" s="184" t="s">
        <v>781</v>
      </c>
      <c r="C445" s="124" t="s">
        <v>1594</v>
      </c>
      <c r="D445" s="124" t="s">
        <v>1296</v>
      </c>
      <c r="E445" s="124"/>
      <c r="F445" s="124"/>
      <c r="G445" s="132">
        <f>G446+G451+G526+G522</f>
        <v>106579.9</v>
      </c>
      <c r="H445" s="132">
        <f>H446+H451+H526+H522</f>
        <v>492985.6</v>
      </c>
      <c r="K445" s="132">
        <f>K446+K451+K526+K522</f>
        <v>482624.8</v>
      </c>
      <c r="L445" s="604">
        <f t="shared" si="29"/>
        <v>452.8290981695423</v>
      </c>
      <c r="M445" s="605">
        <f t="shared" si="30"/>
        <v>97.89835646315025</v>
      </c>
    </row>
    <row r="446" spans="1:13" ht="24">
      <c r="A446" s="141" t="s">
        <v>1044</v>
      </c>
      <c r="B446" s="184" t="s">
        <v>781</v>
      </c>
      <c r="C446" s="124" t="s">
        <v>1594</v>
      </c>
      <c r="D446" s="124" t="s">
        <v>1296</v>
      </c>
      <c r="E446" s="124" t="s">
        <v>546</v>
      </c>
      <c r="F446" s="124"/>
      <c r="G446" s="132">
        <f aca="true" t="shared" si="33" ref="G446:H449">G447</f>
        <v>2562</v>
      </c>
      <c r="H446" s="132">
        <f t="shared" si="33"/>
        <v>2583.5</v>
      </c>
      <c r="K446" s="132">
        <f>K447</f>
        <v>1767.8</v>
      </c>
      <c r="L446" s="604">
        <f t="shared" si="29"/>
        <v>69.0007806401249</v>
      </c>
      <c r="M446" s="605">
        <f t="shared" si="30"/>
        <v>68.4265531256048</v>
      </c>
    </row>
    <row r="447" spans="1:13" ht="24">
      <c r="A447" s="129" t="s">
        <v>1000</v>
      </c>
      <c r="B447" s="184" t="s">
        <v>781</v>
      </c>
      <c r="C447" s="124" t="s">
        <v>1594</v>
      </c>
      <c r="D447" s="124" t="s">
        <v>1296</v>
      </c>
      <c r="E447" s="124" t="s">
        <v>1002</v>
      </c>
      <c r="F447" s="124"/>
      <c r="G447" s="132">
        <f t="shared" si="33"/>
        <v>2562</v>
      </c>
      <c r="H447" s="132">
        <f t="shared" si="33"/>
        <v>2583.5</v>
      </c>
      <c r="K447" s="132">
        <f>K448</f>
        <v>1767.8</v>
      </c>
      <c r="L447" s="604">
        <f t="shared" si="29"/>
        <v>69.0007806401249</v>
      </c>
      <c r="M447" s="605">
        <f t="shared" si="30"/>
        <v>68.4265531256048</v>
      </c>
    </row>
    <row r="448" spans="1:13" ht="24">
      <c r="A448" s="134" t="s">
        <v>910</v>
      </c>
      <c r="B448" s="184" t="s">
        <v>781</v>
      </c>
      <c r="C448" s="124" t="s">
        <v>1594</v>
      </c>
      <c r="D448" s="124" t="s">
        <v>1296</v>
      </c>
      <c r="E448" s="124" t="s">
        <v>1003</v>
      </c>
      <c r="F448" s="124" t="s">
        <v>911</v>
      </c>
      <c r="G448" s="132">
        <f t="shared" si="33"/>
        <v>2562</v>
      </c>
      <c r="H448" s="132">
        <f t="shared" si="33"/>
        <v>2583.5</v>
      </c>
      <c r="K448" s="132">
        <f>K449</f>
        <v>1767.8</v>
      </c>
      <c r="L448" s="604">
        <f t="shared" si="29"/>
        <v>69.0007806401249</v>
      </c>
      <c r="M448" s="605">
        <f t="shared" si="30"/>
        <v>68.4265531256048</v>
      </c>
    </row>
    <row r="449" spans="1:13" ht="36">
      <c r="A449" s="129" t="s">
        <v>1683</v>
      </c>
      <c r="B449" s="184" t="s">
        <v>781</v>
      </c>
      <c r="C449" s="124" t="s">
        <v>1594</v>
      </c>
      <c r="D449" s="124" t="s">
        <v>1296</v>
      </c>
      <c r="E449" s="124" t="s">
        <v>1003</v>
      </c>
      <c r="F449" s="124" t="s">
        <v>1267</v>
      </c>
      <c r="G449" s="132">
        <f t="shared" si="33"/>
        <v>2562</v>
      </c>
      <c r="H449" s="132">
        <f t="shared" si="33"/>
        <v>2583.5</v>
      </c>
      <c r="K449" s="132">
        <f>K450</f>
        <v>1767.8</v>
      </c>
      <c r="L449" s="604">
        <f t="shared" si="29"/>
        <v>69.0007806401249</v>
      </c>
      <c r="M449" s="605">
        <f t="shared" si="30"/>
        <v>68.4265531256048</v>
      </c>
    </row>
    <row r="450" spans="1:13" ht="36">
      <c r="A450" s="129" t="s">
        <v>1001</v>
      </c>
      <c r="B450" s="184" t="s">
        <v>781</v>
      </c>
      <c r="C450" s="124" t="s">
        <v>1594</v>
      </c>
      <c r="D450" s="124" t="s">
        <v>1296</v>
      </c>
      <c r="E450" s="124" t="s">
        <v>1003</v>
      </c>
      <c r="F450" s="124" t="s">
        <v>1267</v>
      </c>
      <c r="G450" s="135">
        <f>2562</f>
        <v>2562</v>
      </c>
      <c r="H450" s="135">
        <f>2562+21.5</f>
        <v>2583.5</v>
      </c>
      <c r="K450" s="135">
        <v>1767.8</v>
      </c>
      <c r="L450" s="604">
        <f t="shared" si="29"/>
        <v>69.0007806401249</v>
      </c>
      <c r="M450" s="605">
        <f t="shared" si="30"/>
        <v>68.4265531256048</v>
      </c>
    </row>
    <row r="451" spans="1:13" ht="24">
      <c r="A451" s="137" t="s">
        <v>1454</v>
      </c>
      <c r="B451" s="184" t="s">
        <v>781</v>
      </c>
      <c r="C451" s="124" t="s">
        <v>1594</v>
      </c>
      <c r="D451" s="124" t="s">
        <v>1296</v>
      </c>
      <c r="E451" s="124" t="s">
        <v>123</v>
      </c>
      <c r="F451" s="124"/>
      <c r="G451" s="132">
        <f>G469+G476+G487+G452+G496+G504+G515</f>
        <v>104017.9</v>
      </c>
      <c r="H451" s="132">
        <f>H469+H476+H487+H452+H496+H504+H515</f>
        <v>476321.1</v>
      </c>
      <c r="K451" s="132">
        <f>K469+K476+K487+K452+K496+K504+K515</f>
        <v>467561.89999999997</v>
      </c>
      <c r="L451" s="604">
        <f t="shared" si="29"/>
        <v>449.5013838964256</v>
      </c>
      <c r="M451" s="605">
        <f t="shared" si="30"/>
        <v>98.16107243622002</v>
      </c>
    </row>
    <row r="452" spans="1:13" ht="36">
      <c r="A452" s="136" t="s">
        <v>1224</v>
      </c>
      <c r="B452" s="184" t="s">
        <v>781</v>
      </c>
      <c r="C452" s="124" t="s">
        <v>1594</v>
      </c>
      <c r="D452" s="124" t="s">
        <v>1296</v>
      </c>
      <c r="E452" s="124" t="s">
        <v>616</v>
      </c>
      <c r="F452" s="124"/>
      <c r="G452" s="132">
        <f>G453</f>
        <v>32105.9</v>
      </c>
      <c r="H452" s="132">
        <f>H453</f>
        <v>45507.3</v>
      </c>
      <c r="K452" s="132">
        <f>K453</f>
        <v>37799.799999999996</v>
      </c>
      <c r="L452" s="604">
        <f t="shared" si="29"/>
        <v>117.73474657305975</v>
      </c>
      <c r="M452" s="605">
        <f t="shared" si="30"/>
        <v>83.06315690010173</v>
      </c>
    </row>
    <row r="453" spans="1:13" ht="24">
      <c r="A453" s="129" t="s">
        <v>752</v>
      </c>
      <c r="B453" s="184" t="s">
        <v>781</v>
      </c>
      <c r="C453" s="124" t="s">
        <v>1594</v>
      </c>
      <c r="D453" s="124" t="s">
        <v>1296</v>
      </c>
      <c r="E453" s="124" t="s">
        <v>617</v>
      </c>
      <c r="F453" s="124" t="s">
        <v>751</v>
      </c>
      <c r="G453" s="132">
        <f>G454+G466</f>
        <v>32105.9</v>
      </c>
      <c r="H453" s="132">
        <f>H454+H466+H463</f>
        <v>45507.3</v>
      </c>
      <c r="I453" s="132">
        <f>I454+I466+I463</f>
        <v>228.6</v>
      </c>
      <c r="J453" s="132">
        <f>J454+J466+J463</f>
        <v>0</v>
      </c>
      <c r="K453" s="132">
        <f>K454+K466+K463</f>
        <v>37799.799999999996</v>
      </c>
      <c r="L453" s="604">
        <f t="shared" si="29"/>
        <v>117.73474657305975</v>
      </c>
      <c r="M453" s="605">
        <f t="shared" si="30"/>
        <v>83.06315690010173</v>
      </c>
    </row>
    <row r="454" spans="1:13" ht="24">
      <c r="A454" s="134" t="s">
        <v>1435</v>
      </c>
      <c r="B454" s="184" t="s">
        <v>781</v>
      </c>
      <c r="C454" s="124" t="s">
        <v>1594</v>
      </c>
      <c r="D454" s="124" t="s">
        <v>1296</v>
      </c>
      <c r="E454" s="124" t="s">
        <v>617</v>
      </c>
      <c r="F454" s="124" t="s">
        <v>1436</v>
      </c>
      <c r="G454" s="135">
        <f>23956.9+G455+G456+G457+G458+G459+G460+G461+G462</f>
        <v>23956.9</v>
      </c>
      <c r="H454" s="135">
        <f>23956.9-2350+H455+H456+H457+5000+H458+H459+H460+H461+H462</f>
        <v>31460.300000000003</v>
      </c>
      <c r="K454" s="135">
        <v>30810.8</v>
      </c>
      <c r="L454" s="604">
        <f t="shared" si="29"/>
        <v>128.60929419081765</v>
      </c>
      <c r="M454" s="605">
        <f t="shared" si="30"/>
        <v>97.93549330425965</v>
      </c>
    </row>
    <row r="455" spans="1:13" ht="24">
      <c r="A455" s="134" t="s">
        <v>1077</v>
      </c>
      <c r="B455" s="184" t="s">
        <v>781</v>
      </c>
      <c r="C455" s="124" t="s">
        <v>1594</v>
      </c>
      <c r="D455" s="124" t="s">
        <v>1296</v>
      </c>
      <c r="E455" s="124" t="s">
        <v>617</v>
      </c>
      <c r="F455" s="124" t="s">
        <v>1436</v>
      </c>
      <c r="G455" s="135">
        <v>0</v>
      </c>
      <c r="H455" s="135">
        <v>821.6</v>
      </c>
      <c r="K455" s="135">
        <v>821.6</v>
      </c>
      <c r="L455" s="604">
        <v>0</v>
      </c>
      <c r="M455" s="605">
        <f t="shared" si="30"/>
        <v>100</v>
      </c>
    </row>
    <row r="456" spans="1:13" ht="24">
      <c r="A456" s="134" t="s">
        <v>1078</v>
      </c>
      <c r="B456" s="184" t="s">
        <v>781</v>
      </c>
      <c r="C456" s="124" t="s">
        <v>1594</v>
      </c>
      <c r="D456" s="124" t="s">
        <v>1296</v>
      </c>
      <c r="E456" s="124" t="s">
        <v>617</v>
      </c>
      <c r="F456" s="124" t="s">
        <v>1436</v>
      </c>
      <c r="G456" s="135">
        <v>0</v>
      </c>
      <c r="H456" s="135">
        <f>368.4+203.5</f>
        <v>571.9</v>
      </c>
      <c r="K456" s="135">
        <f>368.4+203.5</f>
        <v>571.9</v>
      </c>
      <c r="L456" s="604">
        <v>0</v>
      </c>
      <c r="M456" s="605">
        <f t="shared" si="30"/>
        <v>100</v>
      </c>
    </row>
    <row r="457" spans="1:13" ht="24">
      <c r="A457" s="134" t="s">
        <v>1079</v>
      </c>
      <c r="B457" s="184" t="s">
        <v>781</v>
      </c>
      <c r="C457" s="124" t="s">
        <v>1594</v>
      </c>
      <c r="D457" s="124" t="s">
        <v>1296</v>
      </c>
      <c r="E457" s="124" t="s">
        <v>617</v>
      </c>
      <c r="F457" s="124" t="s">
        <v>1436</v>
      </c>
      <c r="G457" s="135">
        <v>0</v>
      </c>
      <c r="H457" s="135">
        <v>144.2</v>
      </c>
      <c r="K457" s="135">
        <v>144.2</v>
      </c>
      <c r="L457" s="604">
        <v>0</v>
      </c>
      <c r="M457" s="605">
        <f t="shared" si="30"/>
        <v>100</v>
      </c>
    </row>
    <row r="458" spans="1:13" ht="24">
      <c r="A458" s="134" t="s">
        <v>1313</v>
      </c>
      <c r="B458" s="184" t="s">
        <v>781</v>
      </c>
      <c r="C458" s="124" t="s">
        <v>1594</v>
      </c>
      <c r="D458" s="124" t="s">
        <v>1296</v>
      </c>
      <c r="E458" s="124" t="s">
        <v>617</v>
      </c>
      <c r="F458" s="124" t="s">
        <v>1436</v>
      </c>
      <c r="G458" s="135">
        <v>0</v>
      </c>
      <c r="H458" s="135">
        <v>1177</v>
      </c>
      <c r="K458" s="135">
        <f>1177</f>
        <v>1177</v>
      </c>
      <c r="L458" s="604">
        <v>0</v>
      </c>
      <c r="M458" s="605">
        <f t="shared" si="30"/>
        <v>100</v>
      </c>
    </row>
    <row r="459" spans="1:13" ht="24">
      <c r="A459" s="134" t="s">
        <v>1526</v>
      </c>
      <c r="B459" s="184" t="s">
        <v>781</v>
      </c>
      <c r="C459" s="124" t="s">
        <v>1594</v>
      </c>
      <c r="D459" s="124" t="s">
        <v>1296</v>
      </c>
      <c r="E459" s="124" t="s">
        <v>617</v>
      </c>
      <c r="F459" s="124" t="s">
        <v>1436</v>
      </c>
      <c r="G459" s="135">
        <v>0</v>
      </c>
      <c r="H459" s="135">
        <v>590.4</v>
      </c>
      <c r="K459" s="135">
        <v>590.4</v>
      </c>
      <c r="L459" s="604">
        <v>0</v>
      </c>
      <c r="M459" s="605">
        <f t="shared" si="30"/>
        <v>100</v>
      </c>
    </row>
    <row r="460" spans="1:13" ht="24">
      <c r="A460" s="134" t="s">
        <v>1527</v>
      </c>
      <c r="B460" s="184" t="s">
        <v>781</v>
      </c>
      <c r="C460" s="124" t="s">
        <v>1594</v>
      </c>
      <c r="D460" s="124" t="s">
        <v>1296</v>
      </c>
      <c r="E460" s="124" t="s">
        <v>617</v>
      </c>
      <c r="F460" s="124" t="s">
        <v>1436</v>
      </c>
      <c r="G460" s="135">
        <v>0</v>
      </c>
      <c r="H460" s="135">
        <v>135</v>
      </c>
      <c r="K460" s="135">
        <v>135</v>
      </c>
      <c r="L460" s="604">
        <v>0</v>
      </c>
      <c r="M460" s="605">
        <f t="shared" si="30"/>
        <v>100</v>
      </c>
    </row>
    <row r="461" spans="1:13" ht="36">
      <c r="A461" s="134" t="s">
        <v>1016</v>
      </c>
      <c r="B461" s="184" t="s">
        <v>781</v>
      </c>
      <c r="C461" s="124" t="s">
        <v>1594</v>
      </c>
      <c r="D461" s="124" t="s">
        <v>1296</v>
      </c>
      <c r="E461" s="124" t="s">
        <v>617</v>
      </c>
      <c r="F461" s="124" t="s">
        <v>1436</v>
      </c>
      <c r="G461" s="135">
        <v>0</v>
      </c>
      <c r="H461" s="135">
        <v>313.3</v>
      </c>
      <c r="K461" s="135">
        <v>313.3</v>
      </c>
      <c r="L461" s="604">
        <v>0</v>
      </c>
      <c r="M461" s="605">
        <f aca="true" t="shared" si="34" ref="M461:M524">K461/H461*100</f>
        <v>100</v>
      </c>
    </row>
    <row r="462" spans="1:13" ht="24">
      <c r="A462" s="134" t="s">
        <v>1017</v>
      </c>
      <c r="B462" s="184" t="s">
        <v>781</v>
      </c>
      <c r="C462" s="124" t="s">
        <v>1594</v>
      </c>
      <c r="D462" s="124" t="s">
        <v>1296</v>
      </c>
      <c r="E462" s="124" t="s">
        <v>617</v>
      </c>
      <c r="F462" s="124" t="s">
        <v>1436</v>
      </c>
      <c r="G462" s="135">
        <v>0</v>
      </c>
      <c r="H462" s="135">
        <f>400+700</f>
        <v>1100</v>
      </c>
      <c r="K462" s="135">
        <f>400+700</f>
        <v>1100</v>
      </c>
      <c r="L462" s="604">
        <v>0</v>
      </c>
      <c r="M462" s="605">
        <f t="shared" si="34"/>
        <v>100</v>
      </c>
    </row>
    <row r="463" spans="1:13" ht="24">
      <c r="A463" s="134" t="s">
        <v>1284</v>
      </c>
      <c r="B463" s="184" t="s">
        <v>781</v>
      </c>
      <c r="C463" s="124" t="s">
        <v>1594</v>
      </c>
      <c r="D463" s="124" t="s">
        <v>1296</v>
      </c>
      <c r="E463" s="124" t="s">
        <v>1285</v>
      </c>
      <c r="F463" s="124"/>
      <c r="G463" s="132">
        <v>0</v>
      </c>
      <c r="H463" s="132">
        <f>H464</f>
        <v>600</v>
      </c>
      <c r="I463" s="132">
        <f>I464</f>
        <v>228.6</v>
      </c>
      <c r="J463" s="417"/>
      <c r="K463" s="132">
        <f>K464</f>
        <v>228.6</v>
      </c>
      <c r="L463" s="604">
        <v>0</v>
      </c>
      <c r="M463" s="605">
        <f t="shared" si="34"/>
        <v>38.1</v>
      </c>
    </row>
    <row r="464" spans="1:13" ht="24">
      <c r="A464" s="129" t="s">
        <v>752</v>
      </c>
      <c r="B464" s="184" t="s">
        <v>781</v>
      </c>
      <c r="C464" s="124" t="s">
        <v>1594</v>
      </c>
      <c r="D464" s="124" t="s">
        <v>1296</v>
      </c>
      <c r="E464" s="124" t="s">
        <v>1285</v>
      </c>
      <c r="F464" s="124" t="s">
        <v>751</v>
      </c>
      <c r="G464" s="132">
        <v>0</v>
      </c>
      <c r="H464" s="132">
        <f>H465</f>
        <v>600</v>
      </c>
      <c r="I464" s="132">
        <f>I465</f>
        <v>228.6</v>
      </c>
      <c r="J464" s="417"/>
      <c r="K464" s="132">
        <f>K465</f>
        <v>228.6</v>
      </c>
      <c r="L464" s="604">
        <v>0</v>
      </c>
      <c r="M464" s="605">
        <f t="shared" si="34"/>
        <v>38.1</v>
      </c>
    </row>
    <row r="465" spans="1:13" ht="24">
      <c r="A465" s="134" t="s">
        <v>1435</v>
      </c>
      <c r="B465" s="184" t="s">
        <v>781</v>
      </c>
      <c r="C465" s="124" t="s">
        <v>1594</v>
      </c>
      <c r="D465" s="124" t="s">
        <v>1296</v>
      </c>
      <c r="E465" s="124" t="s">
        <v>1285</v>
      </c>
      <c r="F465" s="124" t="s">
        <v>1436</v>
      </c>
      <c r="G465" s="135">
        <v>0</v>
      </c>
      <c r="H465" s="135">
        <v>600</v>
      </c>
      <c r="I465" s="135">
        <v>228.6</v>
      </c>
      <c r="K465" s="135">
        <v>228.6</v>
      </c>
      <c r="L465" s="604">
        <v>0</v>
      </c>
      <c r="M465" s="605">
        <f t="shared" si="34"/>
        <v>38.1</v>
      </c>
    </row>
    <row r="466" spans="1:13" ht="96">
      <c r="A466" s="142" t="s">
        <v>1314</v>
      </c>
      <c r="B466" s="184" t="s">
        <v>781</v>
      </c>
      <c r="C466" s="124" t="s">
        <v>1594</v>
      </c>
      <c r="D466" s="124" t="s">
        <v>1296</v>
      </c>
      <c r="E466" s="124" t="s">
        <v>1679</v>
      </c>
      <c r="F466" s="124"/>
      <c r="G466" s="132">
        <f>G467</f>
        <v>8149</v>
      </c>
      <c r="H466" s="132">
        <f>H467</f>
        <v>13447</v>
      </c>
      <c r="K466" s="132">
        <f>K467</f>
        <v>6760.4</v>
      </c>
      <c r="L466" s="604">
        <f aca="true" t="shared" si="35" ref="L466:L508">K466/G466*100</f>
        <v>82.95987237697877</v>
      </c>
      <c r="M466" s="605">
        <f t="shared" si="34"/>
        <v>50.27441064921544</v>
      </c>
    </row>
    <row r="467" spans="1:13" ht="24">
      <c r="A467" s="129" t="s">
        <v>752</v>
      </c>
      <c r="B467" s="184" t="s">
        <v>781</v>
      </c>
      <c r="C467" s="124" t="s">
        <v>1594</v>
      </c>
      <c r="D467" s="124" t="s">
        <v>1296</v>
      </c>
      <c r="E467" s="124" t="s">
        <v>1679</v>
      </c>
      <c r="F467" s="124" t="s">
        <v>751</v>
      </c>
      <c r="G467" s="132">
        <f>G468</f>
        <v>8149</v>
      </c>
      <c r="H467" s="132">
        <f>H468</f>
        <v>13447</v>
      </c>
      <c r="K467" s="132">
        <f>K468</f>
        <v>6760.4</v>
      </c>
      <c r="L467" s="604">
        <f t="shared" si="35"/>
        <v>82.95987237697877</v>
      </c>
      <c r="M467" s="605">
        <f t="shared" si="34"/>
        <v>50.27441064921544</v>
      </c>
    </row>
    <row r="468" spans="1:13" ht="24">
      <c r="A468" s="134" t="s">
        <v>1435</v>
      </c>
      <c r="B468" s="184" t="s">
        <v>781</v>
      </c>
      <c r="C468" s="124" t="s">
        <v>1594</v>
      </c>
      <c r="D468" s="124" t="s">
        <v>1296</v>
      </c>
      <c r="E468" s="124" t="s">
        <v>1679</v>
      </c>
      <c r="F468" s="124" t="s">
        <v>1436</v>
      </c>
      <c r="G468" s="135">
        <f>8149</f>
        <v>8149</v>
      </c>
      <c r="H468" s="135">
        <f>8149+5392-94</f>
        <v>13447</v>
      </c>
      <c r="K468" s="135">
        <v>6760.4</v>
      </c>
      <c r="L468" s="604">
        <f t="shared" si="35"/>
        <v>82.95987237697877</v>
      </c>
      <c r="M468" s="605">
        <f t="shared" si="34"/>
        <v>50.27441064921544</v>
      </c>
    </row>
    <row r="469" spans="1:13" ht="24">
      <c r="A469" s="129" t="s">
        <v>1004</v>
      </c>
      <c r="B469" s="184" t="s">
        <v>781</v>
      </c>
      <c r="C469" s="124" t="s">
        <v>1594</v>
      </c>
      <c r="D469" s="124" t="s">
        <v>1296</v>
      </c>
      <c r="E469" s="124" t="s">
        <v>1357</v>
      </c>
      <c r="F469" s="124"/>
      <c r="G469" s="132">
        <f>G471+G473+G474+G475</f>
        <v>15271</v>
      </c>
      <c r="H469" s="132">
        <f>H471+H473+H474+H475</f>
        <v>18646</v>
      </c>
      <c r="K469" s="132">
        <f>K471+K473+K474+K475</f>
        <v>18404.9</v>
      </c>
      <c r="L469" s="604">
        <f t="shared" si="35"/>
        <v>120.52190426298213</v>
      </c>
      <c r="M469" s="605">
        <f t="shared" si="34"/>
        <v>98.70696127855841</v>
      </c>
    </row>
    <row r="470" spans="1:13" ht="24">
      <c r="A470" s="130" t="s">
        <v>1312</v>
      </c>
      <c r="B470" s="184" t="s">
        <v>781</v>
      </c>
      <c r="C470" s="124" t="s">
        <v>1594</v>
      </c>
      <c r="D470" s="124" t="s">
        <v>1296</v>
      </c>
      <c r="E470" s="124" t="s">
        <v>1005</v>
      </c>
      <c r="F470" s="124" t="s">
        <v>1704</v>
      </c>
      <c r="G470" s="132">
        <f>G471</f>
        <v>5110</v>
      </c>
      <c r="H470" s="132">
        <f>H471</f>
        <v>5288.3</v>
      </c>
      <c r="K470" s="132">
        <f>K471</f>
        <v>5080.9</v>
      </c>
      <c r="L470" s="604">
        <f t="shared" si="35"/>
        <v>99.43052837573386</v>
      </c>
      <c r="M470" s="605">
        <f t="shared" si="34"/>
        <v>96.07813475029782</v>
      </c>
    </row>
    <row r="471" spans="1:13" ht="24">
      <c r="A471" s="130" t="s">
        <v>621</v>
      </c>
      <c r="B471" s="184" t="s">
        <v>781</v>
      </c>
      <c r="C471" s="124" t="s">
        <v>1594</v>
      </c>
      <c r="D471" s="124" t="s">
        <v>1296</v>
      </c>
      <c r="E471" s="124" t="s">
        <v>1005</v>
      </c>
      <c r="F471" s="124" t="s">
        <v>1619</v>
      </c>
      <c r="G471" s="135">
        <f>5110</f>
        <v>5110</v>
      </c>
      <c r="H471" s="135">
        <f>5110+300+100-300+78.3</f>
        <v>5288.3</v>
      </c>
      <c r="K471" s="135">
        <v>5080.9</v>
      </c>
      <c r="L471" s="604">
        <f t="shared" si="35"/>
        <v>99.43052837573386</v>
      </c>
      <c r="M471" s="605">
        <f t="shared" si="34"/>
        <v>96.07813475029782</v>
      </c>
    </row>
    <row r="472" spans="1:13" ht="18.75" customHeight="1">
      <c r="A472" s="130" t="s">
        <v>910</v>
      </c>
      <c r="B472" s="184" t="s">
        <v>781</v>
      </c>
      <c r="C472" s="124" t="s">
        <v>1594</v>
      </c>
      <c r="D472" s="124" t="s">
        <v>1296</v>
      </c>
      <c r="E472" s="124" t="s">
        <v>1005</v>
      </c>
      <c r="F472" s="124" t="s">
        <v>911</v>
      </c>
      <c r="G472" s="132">
        <f>G473+G474+G475</f>
        <v>10161</v>
      </c>
      <c r="H472" s="132">
        <f>H473+H474+H475</f>
        <v>13357.699999999999</v>
      </c>
      <c r="K472" s="132">
        <f>K473+K474+K475</f>
        <v>13324</v>
      </c>
      <c r="L472" s="604">
        <f t="shared" si="35"/>
        <v>131.12882590296232</v>
      </c>
      <c r="M472" s="605">
        <f t="shared" si="34"/>
        <v>99.74771105804143</v>
      </c>
    </row>
    <row r="473" spans="1:13" ht="18.75" customHeight="1">
      <c r="A473" s="130" t="s">
        <v>619</v>
      </c>
      <c r="B473" s="184" t="s">
        <v>781</v>
      </c>
      <c r="C473" s="124" t="s">
        <v>1594</v>
      </c>
      <c r="D473" s="124" t="s">
        <v>1296</v>
      </c>
      <c r="E473" s="124" t="s">
        <v>1005</v>
      </c>
      <c r="F473" s="124" t="s">
        <v>620</v>
      </c>
      <c r="G473" s="135">
        <f>750</f>
        <v>750</v>
      </c>
      <c r="H473" s="135">
        <v>2809.9</v>
      </c>
      <c r="I473" s="135">
        <v>2809.9</v>
      </c>
      <c r="J473" s="135">
        <v>2809.9</v>
      </c>
      <c r="K473" s="135">
        <v>2809.9</v>
      </c>
      <c r="L473" s="604">
        <f t="shared" si="35"/>
        <v>374.6533333333333</v>
      </c>
      <c r="M473" s="605">
        <f t="shared" si="34"/>
        <v>100</v>
      </c>
    </row>
    <row r="474" spans="1:13" ht="19.5" customHeight="1">
      <c r="A474" s="130" t="s">
        <v>589</v>
      </c>
      <c r="B474" s="184" t="s">
        <v>781</v>
      </c>
      <c r="C474" s="124" t="s">
        <v>1594</v>
      </c>
      <c r="D474" s="124" t="s">
        <v>1296</v>
      </c>
      <c r="E474" s="124" t="s">
        <v>1005</v>
      </c>
      <c r="F474" s="124" t="s">
        <v>590</v>
      </c>
      <c r="G474" s="135">
        <f>500</f>
        <v>500</v>
      </c>
      <c r="H474" s="135">
        <v>1345.5</v>
      </c>
      <c r="I474" s="135">
        <v>1343.4</v>
      </c>
      <c r="J474" s="135">
        <v>1345.5</v>
      </c>
      <c r="K474" s="135">
        <v>1343.4</v>
      </c>
      <c r="L474" s="604">
        <f t="shared" si="35"/>
        <v>268.68</v>
      </c>
      <c r="M474" s="605">
        <f t="shared" si="34"/>
        <v>99.84392419175029</v>
      </c>
    </row>
    <row r="475" spans="1:13" ht="15.75" customHeight="1">
      <c r="A475" s="129" t="s">
        <v>912</v>
      </c>
      <c r="B475" s="184" t="s">
        <v>781</v>
      </c>
      <c r="C475" s="124" t="s">
        <v>1594</v>
      </c>
      <c r="D475" s="124" t="s">
        <v>1296</v>
      </c>
      <c r="E475" s="124" t="s">
        <v>1005</v>
      </c>
      <c r="F475" s="124" t="s">
        <v>913</v>
      </c>
      <c r="G475" s="135">
        <f>8911</f>
        <v>8911</v>
      </c>
      <c r="H475" s="135">
        <v>9202.3</v>
      </c>
      <c r="I475" s="135">
        <v>9170.7</v>
      </c>
      <c r="J475" s="135">
        <v>9202.3</v>
      </c>
      <c r="K475" s="135">
        <v>9170.7</v>
      </c>
      <c r="L475" s="604">
        <f t="shared" si="35"/>
        <v>102.91437549096622</v>
      </c>
      <c r="M475" s="605">
        <f t="shared" si="34"/>
        <v>99.65660758723365</v>
      </c>
    </row>
    <row r="476" spans="1:13" ht="36">
      <c r="A476" s="129" t="s">
        <v>888</v>
      </c>
      <c r="B476" s="184" t="s">
        <v>781</v>
      </c>
      <c r="C476" s="124" t="s">
        <v>1594</v>
      </c>
      <c r="D476" s="124" t="s">
        <v>1296</v>
      </c>
      <c r="E476" s="124" t="s">
        <v>1059</v>
      </c>
      <c r="F476" s="124"/>
      <c r="G476" s="132">
        <f>G477+G479+G481+G483+G485</f>
        <v>9193.100000000006</v>
      </c>
      <c r="H476" s="132">
        <f>H477+H479+H481+H483+H485</f>
        <v>13110.200000000006</v>
      </c>
      <c r="K476" s="132">
        <f>K477+K479+K481+K483+K485</f>
        <v>12878.5</v>
      </c>
      <c r="L476" s="604">
        <f t="shared" si="35"/>
        <v>140.0887622238417</v>
      </c>
      <c r="M476" s="605">
        <f t="shared" si="34"/>
        <v>98.23267379597561</v>
      </c>
    </row>
    <row r="477" spans="1:13" ht="24">
      <c r="A477" s="130" t="s">
        <v>910</v>
      </c>
      <c r="B477" s="184" t="s">
        <v>781</v>
      </c>
      <c r="C477" s="124" t="s">
        <v>1594</v>
      </c>
      <c r="D477" s="124" t="s">
        <v>1296</v>
      </c>
      <c r="E477" s="124" t="s">
        <v>1060</v>
      </c>
      <c r="F477" s="124" t="s">
        <v>911</v>
      </c>
      <c r="G477" s="132">
        <f>G478</f>
        <v>3594</v>
      </c>
      <c r="H477" s="132">
        <f>H478</f>
        <v>1948</v>
      </c>
      <c r="K477" s="132">
        <f>K478</f>
        <v>1947.5</v>
      </c>
      <c r="L477" s="604">
        <f t="shared" si="35"/>
        <v>54.1875347801892</v>
      </c>
      <c r="M477" s="605">
        <f t="shared" si="34"/>
        <v>99.97433264887063</v>
      </c>
    </row>
    <row r="478" spans="1:13" ht="24">
      <c r="A478" s="130" t="s">
        <v>589</v>
      </c>
      <c r="B478" s="184" t="s">
        <v>781</v>
      </c>
      <c r="C478" s="124" t="s">
        <v>1594</v>
      </c>
      <c r="D478" s="124" t="s">
        <v>1296</v>
      </c>
      <c r="E478" s="124" t="s">
        <v>1060</v>
      </c>
      <c r="F478" s="124" t="s">
        <v>590</v>
      </c>
      <c r="G478" s="135">
        <f>17085-13491</f>
        <v>3594</v>
      </c>
      <c r="H478" s="135">
        <f>17085-13491-1415-231</f>
        <v>1948</v>
      </c>
      <c r="K478" s="135">
        <v>1947.5</v>
      </c>
      <c r="L478" s="604">
        <f t="shared" si="35"/>
        <v>54.1875347801892</v>
      </c>
      <c r="M478" s="605">
        <f t="shared" si="34"/>
        <v>99.97433264887063</v>
      </c>
    </row>
    <row r="479" spans="1:13" ht="48">
      <c r="A479" s="130" t="s">
        <v>1311</v>
      </c>
      <c r="B479" s="184" t="s">
        <v>781</v>
      </c>
      <c r="C479" s="124" t="s">
        <v>1594</v>
      </c>
      <c r="D479" s="124" t="s">
        <v>1296</v>
      </c>
      <c r="E479" s="124" t="s">
        <v>1061</v>
      </c>
      <c r="F479" s="124" t="s">
        <v>1462</v>
      </c>
      <c r="G479" s="132">
        <f>G480</f>
        <v>3285</v>
      </c>
      <c r="H479" s="132">
        <f>H480</f>
        <v>5341.799999999999</v>
      </c>
      <c r="K479" s="132">
        <f>K480</f>
        <v>5289.6</v>
      </c>
      <c r="L479" s="604">
        <f t="shared" si="35"/>
        <v>161.02283105022832</v>
      </c>
      <c r="M479" s="605">
        <f t="shared" si="34"/>
        <v>99.02280130293161</v>
      </c>
    </row>
    <row r="480" spans="1:13" ht="24">
      <c r="A480" s="129" t="s">
        <v>105</v>
      </c>
      <c r="B480" s="184" t="s">
        <v>781</v>
      </c>
      <c r="C480" s="124" t="s">
        <v>1594</v>
      </c>
      <c r="D480" s="124" t="s">
        <v>1296</v>
      </c>
      <c r="E480" s="124" t="s">
        <v>1061</v>
      </c>
      <c r="F480" s="124" t="s">
        <v>106</v>
      </c>
      <c r="G480" s="135">
        <f>3285</f>
        <v>3285</v>
      </c>
      <c r="H480" s="135">
        <f>3285+1427+562.9-0.1+67</f>
        <v>5341.799999999999</v>
      </c>
      <c r="K480" s="135">
        <v>5289.6</v>
      </c>
      <c r="L480" s="604">
        <f t="shared" si="35"/>
        <v>161.02283105022832</v>
      </c>
      <c r="M480" s="605">
        <f t="shared" si="34"/>
        <v>99.02280130293161</v>
      </c>
    </row>
    <row r="481" spans="1:13" ht="24">
      <c r="A481" s="130" t="s">
        <v>1312</v>
      </c>
      <c r="B481" s="184" t="s">
        <v>781</v>
      </c>
      <c r="C481" s="124" t="s">
        <v>1594</v>
      </c>
      <c r="D481" s="124" t="s">
        <v>1296</v>
      </c>
      <c r="E481" s="124" t="s">
        <v>1061</v>
      </c>
      <c r="F481" s="124" t="s">
        <v>1704</v>
      </c>
      <c r="G481" s="132">
        <f>G482</f>
        <v>2308.100000000006</v>
      </c>
      <c r="H481" s="132">
        <f>H482</f>
        <v>5807.700000000006</v>
      </c>
      <c r="K481" s="132">
        <f>K482</f>
        <v>5638</v>
      </c>
      <c r="L481" s="604">
        <f t="shared" si="35"/>
        <v>244.2701789350542</v>
      </c>
      <c r="M481" s="605">
        <f t="shared" si="34"/>
        <v>97.07801711520901</v>
      </c>
    </row>
    <row r="482" spans="1:13" ht="19.5" customHeight="1">
      <c r="A482" s="130" t="s">
        <v>621</v>
      </c>
      <c r="B482" s="184" t="s">
        <v>781</v>
      </c>
      <c r="C482" s="124" t="s">
        <v>1594</v>
      </c>
      <c r="D482" s="124" t="s">
        <v>1296</v>
      </c>
      <c r="E482" s="124" t="s">
        <v>1061</v>
      </c>
      <c r="F482" s="124" t="s">
        <v>1619</v>
      </c>
      <c r="G482" s="135">
        <f>47927.8-45619.7</f>
        <v>2308.100000000006</v>
      </c>
      <c r="H482" s="135">
        <f>47927.8-45619.7-562.9-6.7+2404.1+1293+0.1-28+85+400-85</f>
        <v>5807.700000000006</v>
      </c>
      <c r="K482" s="135">
        <v>5638</v>
      </c>
      <c r="L482" s="604">
        <f t="shared" si="35"/>
        <v>244.2701789350542</v>
      </c>
      <c r="M482" s="605">
        <f t="shared" si="34"/>
        <v>97.07801711520901</v>
      </c>
    </row>
    <row r="483" spans="1:13" ht="19.5" customHeight="1">
      <c r="A483" s="130" t="s">
        <v>910</v>
      </c>
      <c r="B483" s="184" t="s">
        <v>781</v>
      </c>
      <c r="C483" s="124" t="s">
        <v>1594</v>
      </c>
      <c r="D483" s="124" t="s">
        <v>1296</v>
      </c>
      <c r="E483" s="124" t="s">
        <v>1061</v>
      </c>
      <c r="F483" s="124" t="s">
        <v>911</v>
      </c>
      <c r="G483" s="132">
        <f>G484</f>
        <v>6</v>
      </c>
      <c r="H483" s="132">
        <f>H484</f>
        <v>12.7</v>
      </c>
      <c r="K483" s="132">
        <f>K484</f>
        <v>3.4</v>
      </c>
      <c r="L483" s="604">
        <f t="shared" si="35"/>
        <v>56.666666666666664</v>
      </c>
      <c r="M483" s="605">
        <f t="shared" si="34"/>
        <v>26.77165354330709</v>
      </c>
    </row>
    <row r="484" spans="1:13" ht="24">
      <c r="A484" s="130" t="s">
        <v>589</v>
      </c>
      <c r="B484" s="184" t="s">
        <v>781</v>
      </c>
      <c r="C484" s="124" t="s">
        <v>1594</v>
      </c>
      <c r="D484" s="124" t="s">
        <v>1296</v>
      </c>
      <c r="E484" s="124" t="s">
        <v>1061</v>
      </c>
      <c r="F484" s="124" t="s">
        <v>590</v>
      </c>
      <c r="G484" s="135">
        <f>6</f>
        <v>6</v>
      </c>
      <c r="H484" s="135">
        <f>6+6.7</f>
        <v>12.7</v>
      </c>
      <c r="K484" s="135">
        <v>3.4</v>
      </c>
      <c r="L484" s="604">
        <f t="shared" si="35"/>
        <v>56.666666666666664</v>
      </c>
      <c r="M484" s="605">
        <f t="shared" si="34"/>
        <v>26.77165354330709</v>
      </c>
    </row>
    <row r="485" spans="1:13" ht="24">
      <c r="A485" s="130" t="s">
        <v>1312</v>
      </c>
      <c r="B485" s="184" t="s">
        <v>781</v>
      </c>
      <c r="C485" s="124" t="s">
        <v>1594</v>
      </c>
      <c r="D485" s="124" t="s">
        <v>1296</v>
      </c>
      <c r="E485" s="124" t="s">
        <v>447</v>
      </c>
      <c r="F485" s="124" t="s">
        <v>1704</v>
      </c>
      <c r="G485" s="132">
        <f>G486</f>
        <v>0</v>
      </c>
      <c r="H485" s="132">
        <f>H486</f>
        <v>0</v>
      </c>
      <c r="K485" s="132">
        <f>K486</f>
        <v>0</v>
      </c>
      <c r="L485" s="604">
        <v>0</v>
      </c>
      <c r="M485" s="604">
        <v>0</v>
      </c>
    </row>
    <row r="486" spans="1:13" ht="24">
      <c r="A486" s="130" t="s">
        <v>621</v>
      </c>
      <c r="B486" s="184" t="s">
        <v>781</v>
      </c>
      <c r="C486" s="124" t="s">
        <v>1594</v>
      </c>
      <c r="D486" s="124" t="s">
        <v>1296</v>
      </c>
      <c r="E486" s="124" t="s">
        <v>447</v>
      </c>
      <c r="F486" s="124" t="s">
        <v>1619</v>
      </c>
      <c r="G486" s="135">
        <f>14125.6-14125.6</f>
        <v>0</v>
      </c>
      <c r="H486" s="135">
        <f>14125.6-14125.6</f>
        <v>0</v>
      </c>
      <c r="K486" s="135">
        <f>14125.6-14125.6</f>
        <v>0</v>
      </c>
      <c r="L486" s="604">
        <v>0</v>
      </c>
      <c r="M486" s="604">
        <v>0</v>
      </c>
    </row>
    <row r="487" spans="1:13" ht="24">
      <c r="A487" s="129" t="s">
        <v>1006</v>
      </c>
      <c r="B487" s="184" t="s">
        <v>781</v>
      </c>
      <c r="C487" s="124" t="s">
        <v>1594</v>
      </c>
      <c r="D487" s="124" t="s">
        <v>1296</v>
      </c>
      <c r="E487" s="124" t="s">
        <v>1007</v>
      </c>
      <c r="F487" s="124"/>
      <c r="G487" s="132">
        <f>G488+G490+G492+G494</f>
        <v>5775</v>
      </c>
      <c r="H487" s="132">
        <f>H488+H490+H492+H494</f>
        <v>5875</v>
      </c>
      <c r="K487" s="132">
        <f>K488+K490+K492+K494</f>
        <v>5821.1</v>
      </c>
      <c r="L487" s="604">
        <f t="shared" si="35"/>
        <v>100.79826839826839</v>
      </c>
      <c r="M487" s="605">
        <f t="shared" si="34"/>
        <v>99.08255319148937</v>
      </c>
    </row>
    <row r="488" spans="1:13" ht="20.25" customHeight="1">
      <c r="A488" s="130" t="s">
        <v>910</v>
      </c>
      <c r="B488" s="184" t="s">
        <v>781</v>
      </c>
      <c r="C488" s="124" t="s">
        <v>1594</v>
      </c>
      <c r="D488" s="124" t="s">
        <v>1296</v>
      </c>
      <c r="E488" s="124" t="s">
        <v>1008</v>
      </c>
      <c r="F488" s="124" t="s">
        <v>911</v>
      </c>
      <c r="G488" s="132">
        <f>G489</f>
        <v>3</v>
      </c>
      <c r="H488" s="132">
        <f>H489</f>
        <v>3</v>
      </c>
      <c r="K488" s="132">
        <f>K489</f>
        <v>0.2</v>
      </c>
      <c r="L488" s="604">
        <f t="shared" si="35"/>
        <v>6.666666666666667</v>
      </c>
      <c r="M488" s="605">
        <f t="shared" si="34"/>
        <v>6.666666666666667</v>
      </c>
    </row>
    <row r="489" spans="1:13" ht="15" customHeight="1">
      <c r="A489" s="130" t="s">
        <v>589</v>
      </c>
      <c r="B489" s="184" t="s">
        <v>781</v>
      </c>
      <c r="C489" s="124" t="s">
        <v>1594</v>
      </c>
      <c r="D489" s="124" t="s">
        <v>1296</v>
      </c>
      <c r="E489" s="124" t="s">
        <v>1008</v>
      </c>
      <c r="F489" s="124" t="s">
        <v>590</v>
      </c>
      <c r="G489" s="135">
        <v>3</v>
      </c>
      <c r="H489" s="135">
        <v>3</v>
      </c>
      <c r="K489" s="135">
        <v>0.2</v>
      </c>
      <c r="L489" s="604">
        <f t="shared" si="35"/>
        <v>6.666666666666667</v>
      </c>
      <c r="M489" s="605">
        <f t="shared" si="34"/>
        <v>6.666666666666667</v>
      </c>
    </row>
    <row r="490" spans="1:13" ht="48">
      <c r="A490" s="130" t="s">
        <v>1311</v>
      </c>
      <c r="B490" s="184" t="s">
        <v>781</v>
      </c>
      <c r="C490" s="124" t="s">
        <v>1594</v>
      </c>
      <c r="D490" s="124" t="s">
        <v>1296</v>
      </c>
      <c r="E490" s="124" t="s">
        <v>1009</v>
      </c>
      <c r="F490" s="124" t="s">
        <v>1462</v>
      </c>
      <c r="G490" s="132">
        <f>G491</f>
        <v>4626</v>
      </c>
      <c r="H490" s="132">
        <f>H491</f>
        <v>4923.3</v>
      </c>
      <c r="K490" s="132">
        <f>K491</f>
        <v>4918.3</v>
      </c>
      <c r="L490" s="604">
        <f t="shared" si="35"/>
        <v>106.31863380890618</v>
      </c>
      <c r="M490" s="605">
        <f t="shared" si="34"/>
        <v>99.89844210184225</v>
      </c>
    </row>
    <row r="491" spans="1:13" ht="24">
      <c r="A491" s="129" t="s">
        <v>105</v>
      </c>
      <c r="B491" s="184" t="s">
        <v>781</v>
      </c>
      <c r="C491" s="124" t="s">
        <v>1594</v>
      </c>
      <c r="D491" s="124" t="s">
        <v>1296</v>
      </c>
      <c r="E491" s="124" t="s">
        <v>1009</v>
      </c>
      <c r="F491" s="124" t="s">
        <v>106</v>
      </c>
      <c r="G491" s="135">
        <f>4626</f>
        <v>4626</v>
      </c>
      <c r="H491" s="135">
        <f>4626+100+197.3</f>
        <v>4923.3</v>
      </c>
      <c r="K491" s="135">
        <v>4918.3</v>
      </c>
      <c r="L491" s="604">
        <f t="shared" si="35"/>
        <v>106.31863380890618</v>
      </c>
      <c r="M491" s="605">
        <f t="shared" si="34"/>
        <v>99.89844210184225</v>
      </c>
    </row>
    <row r="492" spans="1:13" ht="24">
      <c r="A492" s="130" t="s">
        <v>1312</v>
      </c>
      <c r="B492" s="184" t="s">
        <v>781</v>
      </c>
      <c r="C492" s="124" t="s">
        <v>1594</v>
      </c>
      <c r="D492" s="124" t="s">
        <v>1296</v>
      </c>
      <c r="E492" s="124" t="s">
        <v>1009</v>
      </c>
      <c r="F492" s="124" t="s">
        <v>1704</v>
      </c>
      <c r="G492" s="132">
        <f>G493</f>
        <v>1142</v>
      </c>
      <c r="H492" s="132">
        <f>H493</f>
        <v>944.7</v>
      </c>
      <c r="K492" s="132">
        <f>K493</f>
        <v>899.1</v>
      </c>
      <c r="L492" s="604">
        <f t="shared" si="35"/>
        <v>78.73029772329248</v>
      </c>
      <c r="M492" s="605">
        <f t="shared" si="34"/>
        <v>95.1730708161321</v>
      </c>
    </row>
    <row r="493" spans="1:13" ht="24">
      <c r="A493" s="130" t="s">
        <v>621</v>
      </c>
      <c r="B493" s="184" t="s">
        <v>781</v>
      </c>
      <c r="C493" s="124" t="s">
        <v>1594</v>
      </c>
      <c r="D493" s="124" t="s">
        <v>1296</v>
      </c>
      <c r="E493" s="124" t="s">
        <v>1009</v>
      </c>
      <c r="F493" s="124" t="s">
        <v>1619</v>
      </c>
      <c r="G493" s="135">
        <f>1142</f>
        <v>1142</v>
      </c>
      <c r="H493" s="135">
        <f>1142-197.3</f>
        <v>944.7</v>
      </c>
      <c r="K493" s="135">
        <v>899.1</v>
      </c>
      <c r="L493" s="604">
        <f t="shared" si="35"/>
        <v>78.73029772329248</v>
      </c>
      <c r="M493" s="605">
        <f t="shared" si="34"/>
        <v>95.1730708161321</v>
      </c>
    </row>
    <row r="494" spans="1:13" ht="18.75" customHeight="1">
      <c r="A494" s="130" t="s">
        <v>910</v>
      </c>
      <c r="B494" s="184" t="s">
        <v>781</v>
      </c>
      <c r="C494" s="124" t="s">
        <v>1594</v>
      </c>
      <c r="D494" s="124" t="s">
        <v>1296</v>
      </c>
      <c r="E494" s="124" t="s">
        <v>1009</v>
      </c>
      <c r="F494" s="124" t="s">
        <v>911</v>
      </c>
      <c r="G494" s="132">
        <f>G495</f>
        <v>4</v>
      </c>
      <c r="H494" s="132">
        <f>H495</f>
        <v>4</v>
      </c>
      <c r="K494" s="132">
        <f>K495</f>
        <v>3.5</v>
      </c>
      <c r="L494" s="604">
        <f t="shared" si="35"/>
        <v>87.5</v>
      </c>
      <c r="M494" s="605">
        <f t="shared" si="34"/>
        <v>87.5</v>
      </c>
    </row>
    <row r="495" spans="1:13" ht="20.25" customHeight="1">
      <c r="A495" s="130" t="s">
        <v>589</v>
      </c>
      <c r="B495" s="184" t="s">
        <v>781</v>
      </c>
      <c r="C495" s="124" t="s">
        <v>1594</v>
      </c>
      <c r="D495" s="124" t="s">
        <v>1296</v>
      </c>
      <c r="E495" s="124" t="s">
        <v>1009</v>
      </c>
      <c r="F495" s="124" t="s">
        <v>590</v>
      </c>
      <c r="G495" s="135">
        <v>4</v>
      </c>
      <c r="H495" s="135">
        <v>4</v>
      </c>
      <c r="K495" s="135">
        <v>3.5</v>
      </c>
      <c r="L495" s="604">
        <f t="shared" si="35"/>
        <v>87.5</v>
      </c>
      <c r="M495" s="605">
        <f t="shared" si="34"/>
        <v>87.5</v>
      </c>
    </row>
    <row r="496" spans="1:13" ht="36">
      <c r="A496" s="129" t="s">
        <v>1225</v>
      </c>
      <c r="B496" s="184" t="s">
        <v>781</v>
      </c>
      <c r="C496" s="124" t="s">
        <v>1594</v>
      </c>
      <c r="D496" s="124" t="s">
        <v>1296</v>
      </c>
      <c r="E496" s="124" t="s">
        <v>1010</v>
      </c>
      <c r="F496" s="124"/>
      <c r="G496" s="132">
        <f>G497</f>
        <v>38134.5</v>
      </c>
      <c r="H496" s="132">
        <f>H497</f>
        <v>28952.999999999996</v>
      </c>
      <c r="K496" s="132">
        <f>K497</f>
        <v>28901.7</v>
      </c>
      <c r="L496" s="604">
        <f t="shared" si="35"/>
        <v>75.78885261377492</v>
      </c>
      <c r="M496" s="605">
        <f t="shared" si="34"/>
        <v>99.82281628846754</v>
      </c>
    </row>
    <row r="497" spans="1:13" ht="16.5" customHeight="1">
      <c r="A497" s="134" t="s">
        <v>1709</v>
      </c>
      <c r="B497" s="184" t="s">
        <v>781</v>
      </c>
      <c r="C497" s="124" t="s">
        <v>1594</v>
      </c>
      <c r="D497" s="124" t="s">
        <v>1296</v>
      </c>
      <c r="E497" s="124" t="s">
        <v>1011</v>
      </c>
      <c r="F497" s="124" t="s">
        <v>1014</v>
      </c>
      <c r="G497" s="132">
        <f>G498+G500+G502</f>
        <v>38134.5</v>
      </c>
      <c r="H497" s="132">
        <f>H498+H500+H502</f>
        <v>28952.999999999996</v>
      </c>
      <c r="K497" s="132">
        <f>K498+K500+K502</f>
        <v>28901.7</v>
      </c>
      <c r="L497" s="604">
        <f t="shared" si="35"/>
        <v>75.78885261377492</v>
      </c>
      <c r="M497" s="605">
        <f t="shared" si="34"/>
        <v>99.82281628846754</v>
      </c>
    </row>
    <row r="498" spans="1:13" ht="48">
      <c r="A498" s="130" t="s">
        <v>1311</v>
      </c>
      <c r="B498" s="184" t="s">
        <v>781</v>
      </c>
      <c r="C498" s="124" t="s">
        <v>1594</v>
      </c>
      <c r="D498" s="124" t="s">
        <v>1296</v>
      </c>
      <c r="E498" s="124" t="s">
        <v>1011</v>
      </c>
      <c r="F498" s="124" t="s">
        <v>1462</v>
      </c>
      <c r="G498" s="132">
        <f>G499</f>
        <v>37512.2</v>
      </c>
      <c r="H498" s="132">
        <f>H499</f>
        <v>23433.199999999997</v>
      </c>
      <c r="K498" s="132">
        <f>K499</f>
        <v>23432.7</v>
      </c>
      <c r="L498" s="604">
        <f t="shared" si="35"/>
        <v>62.4668774425387</v>
      </c>
      <c r="M498" s="605">
        <f t="shared" si="34"/>
        <v>99.99786627519931</v>
      </c>
    </row>
    <row r="499" spans="1:13" ht="24">
      <c r="A499" s="130" t="s">
        <v>1039</v>
      </c>
      <c r="B499" s="184" t="s">
        <v>781</v>
      </c>
      <c r="C499" s="124" t="s">
        <v>1594</v>
      </c>
      <c r="D499" s="124" t="s">
        <v>1296</v>
      </c>
      <c r="E499" s="124" t="s">
        <v>1011</v>
      </c>
      <c r="F499" s="124" t="s">
        <v>1432</v>
      </c>
      <c r="G499" s="135">
        <f>37512.2</f>
        <v>37512.2</v>
      </c>
      <c r="H499" s="135">
        <f>37512.2-14079</f>
        <v>23433.199999999997</v>
      </c>
      <c r="K499" s="135">
        <v>23432.7</v>
      </c>
      <c r="L499" s="604">
        <f t="shared" si="35"/>
        <v>62.4668774425387</v>
      </c>
      <c r="M499" s="605">
        <f t="shared" si="34"/>
        <v>99.99786627519931</v>
      </c>
    </row>
    <row r="500" spans="1:13" ht="24">
      <c r="A500" s="130" t="s">
        <v>1312</v>
      </c>
      <c r="B500" s="184" t="s">
        <v>781</v>
      </c>
      <c r="C500" s="124" t="s">
        <v>1594</v>
      </c>
      <c r="D500" s="124" t="s">
        <v>1296</v>
      </c>
      <c r="E500" s="124" t="s">
        <v>1011</v>
      </c>
      <c r="F500" s="124" t="s">
        <v>1704</v>
      </c>
      <c r="G500" s="132">
        <f>G501</f>
        <v>619.3</v>
      </c>
      <c r="H500" s="132">
        <f>H501</f>
        <v>2409</v>
      </c>
      <c r="K500" s="132">
        <f>K501</f>
        <v>2360.1</v>
      </c>
      <c r="L500" s="604">
        <f t="shared" si="35"/>
        <v>381.09155498143065</v>
      </c>
      <c r="M500" s="605">
        <f t="shared" si="34"/>
        <v>97.97011207970112</v>
      </c>
    </row>
    <row r="501" spans="1:13" ht="20.25" customHeight="1">
      <c r="A501" s="130" t="s">
        <v>621</v>
      </c>
      <c r="B501" s="184" t="s">
        <v>781</v>
      </c>
      <c r="C501" s="124" t="s">
        <v>1594</v>
      </c>
      <c r="D501" s="124" t="s">
        <v>1296</v>
      </c>
      <c r="E501" s="124" t="s">
        <v>1011</v>
      </c>
      <c r="F501" s="124" t="s">
        <v>1619</v>
      </c>
      <c r="G501" s="135">
        <f>619.3</f>
        <v>619.3</v>
      </c>
      <c r="H501" s="135">
        <v>2409</v>
      </c>
      <c r="I501" s="135">
        <v>2360.1</v>
      </c>
      <c r="J501" s="135">
        <v>2409</v>
      </c>
      <c r="K501" s="135">
        <v>2360.1</v>
      </c>
      <c r="L501" s="604">
        <f t="shared" si="35"/>
        <v>381.09155498143065</v>
      </c>
      <c r="M501" s="605">
        <f t="shared" si="34"/>
        <v>97.97011207970112</v>
      </c>
    </row>
    <row r="502" spans="1:13" ht="15" customHeight="1">
      <c r="A502" s="130" t="s">
        <v>910</v>
      </c>
      <c r="B502" s="184" t="s">
        <v>781</v>
      </c>
      <c r="C502" s="124" t="s">
        <v>1594</v>
      </c>
      <c r="D502" s="124" t="s">
        <v>1296</v>
      </c>
      <c r="E502" s="124" t="s">
        <v>1247</v>
      </c>
      <c r="F502" s="124" t="s">
        <v>911</v>
      </c>
      <c r="G502" s="132">
        <f>G503</f>
        <v>3</v>
      </c>
      <c r="H502" s="132">
        <f>H503</f>
        <v>3110.8</v>
      </c>
      <c r="K502" s="132">
        <f>K503</f>
        <v>3108.9</v>
      </c>
      <c r="L502" s="604">
        <f t="shared" si="35"/>
        <v>103630</v>
      </c>
      <c r="M502" s="605">
        <f t="shared" si="34"/>
        <v>99.93892246367494</v>
      </c>
    </row>
    <row r="503" spans="1:13" ht="17.25" customHeight="1">
      <c r="A503" s="130" t="s">
        <v>589</v>
      </c>
      <c r="B503" s="184" t="s">
        <v>781</v>
      </c>
      <c r="C503" s="124" t="s">
        <v>1594</v>
      </c>
      <c r="D503" s="124" t="s">
        <v>1296</v>
      </c>
      <c r="E503" s="124" t="s">
        <v>1247</v>
      </c>
      <c r="F503" s="124" t="s">
        <v>590</v>
      </c>
      <c r="G503" s="135">
        <f>3</f>
        <v>3</v>
      </c>
      <c r="H503" s="135">
        <v>3110.8</v>
      </c>
      <c r="I503" s="135">
        <v>3108.9</v>
      </c>
      <c r="J503" s="135">
        <v>3110.8</v>
      </c>
      <c r="K503" s="135">
        <v>3108.9</v>
      </c>
      <c r="L503" s="604">
        <f t="shared" si="35"/>
        <v>103630</v>
      </c>
      <c r="M503" s="605">
        <f t="shared" si="34"/>
        <v>99.93892246367494</v>
      </c>
    </row>
    <row r="504" spans="1:13" ht="72">
      <c r="A504" s="129" t="s">
        <v>1226</v>
      </c>
      <c r="B504" s="184" t="s">
        <v>781</v>
      </c>
      <c r="C504" s="124" t="s">
        <v>1594</v>
      </c>
      <c r="D504" s="124" t="s">
        <v>1296</v>
      </c>
      <c r="E504" s="124" t="s">
        <v>1248</v>
      </c>
      <c r="F504" s="124"/>
      <c r="G504" s="132">
        <f>G505+G507+G510+G512</f>
        <v>3538.4</v>
      </c>
      <c r="H504" s="132">
        <f>H505+H507+H512</f>
        <v>354229.6</v>
      </c>
      <c r="I504" s="132">
        <f>I505+I507+I512</f>
        <v>0</v>
      </c>
      <c r="J504" s="132">
        <f>J505+J507+J512</f>
        <v>0</v>
      </c>
      <c r="K504" s="132">
        <f>K505+K507+K512</f>
        <v>353774.3</v>
      </c>
      <c r="L504" s="604">
        <f t="shared" si="35"/>
        <v>9998.143228577888</v>
      </c>
      <c r="M504" s="605">
        <f t="shared" si="34"/>
        <v>99.87146754534348</v>
      </c>
    </row>
    <row r="505" spans="1:13" ht="24">
      <c r="A505" s="130" t="s">
        <v>1312</v>
      </c>
      <c r="B505" s="184" t="s">
        <v>781</v>
      </c>
      <c r="C505" s="124" t="s">
        <v>1594</v>
      </c>
      <c r="D505" s="124" t="s">
        <v>1296</v>
      </c>
      <c r="E505" s="124" t="s">
        <v>889</v>
      </c>
      <c r="F505" s="124" t="s">
        <v>1704</v>
      </c>
      <c r="G505" s="132">
        <f>G506</f>
        <v>0</v>
      </c>
      <c r="H505" s="132">
        <f>H506</f>
        <v>40</v>
      </c>
      <c r="K505" s="132">
        <f>K506</f>
        <v>35.1</v>
      </c>
      <c r="L505" s="604">
        <v>0</v>
      </c>
      <c r="M505" s="605">
        <f t="shared" si="34"/>
        <v>87.75</v>
      </c>
    </row>
    <row r="506" spans="1:13" ht="24">
      <c r="A506" s="130" t="s">
        <v>621</v>
      </c>
      <c r="B506" s="184" t="s">
        <v>781</v>
      </c>
      <c r="C506" s="124" t="s">
        <v>1594</v>
      </c>
      <c r="D506" s="124" t="s">
        <v>1296</v>
      </c>
      <c r="E506" s="124" t="s">
        <v>889</v>
      </c>
      <c r="F506" s="124" t="s">
        <v>1619</v>
      </c>
      <c r="G506" s="138">
        <v>0</v>
      </c>
      <c r="H506" s="138">
        <f>100+300-15-90-15-200-10+100-130</f>
        <v>40</v>
      </c>
      <c r="K506" s="138">
        <v>35.1</v>
      </c>
      <c r="L506" s="604">
        <v>0</v>
      </c>
      <c r="M506" s="605">
        <f t="shared" si="34"/>
        <v>87.75</v>
      </c>
    </row>
    <row r="507" spans="1:13" ht="24">
      <c r="A507" s="130" t="s">
        <v>1312</v>
      </c>
      <c r="B507" s="184" t="s">
        <v>781</v>
      </c>
      <c r="C507" s="124" t="s">
        <v>1594</v>
      </c>
      <c r="D507" s="124" t="s">
        <v>1296</v>
      </c>
      <c r="E507" s="124" t="s">
        <v>434</v>
      </c>
      <c r="F507" s="124" t="s">
        <v>1704</v>
      </c>
      <c r="G507" s="132">
        <f>G508</f>
        <v>3538.4</v>
      </c>
      <c r="H507" s="132">
        <f>H508+H510</f>
        <v>352189.6</v>
      </c>
      <c r="I507" s="132">
        <f>I508+I510</f>
        <v>0</v>
      </c>
      <c r="J507" s="132">
        <f>J508+J510</f>
        <v>0</v>
      </c>
      <c r="K507" s="132">
        <f>K508+K510</f>
        <v>351739.2</v>
      </c>
      <c r="L507" s="604">
        <f t="shared" si="35"/>
        <v>9940.628532670135</v>
      </c>
      <c r="M507" s="605">
        <f t="shared" si="34"/>
        <v>99.87211433841318</v>
      </c>
    </row>
    <row r="508" spans="1:13" ht="18.75" customHeight="1">
      <c r="A508" s="130" t="s">
        <v>621</v>
      </c>
      <c r="B508" s="184" t="s">
        <v>781</v>
      </c>
      <c r="C508" s="124" t="s">
        <v>1594</v>
      </c>
      <c r="D508" s="124" t="s">
        <v>1296</v>
      </c>
      <c r="E508" s="124" t="s">
        <v>434</v>
      </c>
      <c r="F508" s="124" t="s">
        <v>1619</v>
      </c>
      <c r="G508" s="135">
        <f>3538.4</f>
        <v>3538.4</v>
      </c>
      <c r="H508" s="135">
        <v>352047.6</v>
      </c>
      <c r="K508" s="135">
        <v>351609.2</v>
      </c>
      <c r="L508" s="604">
        <f t="shared" si="35"/>
        <v>9936.954555731405</v>
      </c>
      <c r="M508" s="605">
        <f t="shared" si="34"/>
        <v>99.87547138511952</v>
      </c>
    </row>
    <row r="509" spans="1:13" ht="18.75" customHeight="1">
      <c r="A509" s="130" t="s">
        <v>133</v>
      </c>
      <c r="B509" s="184" t="s">
        <v>781</v>
      </c>
      <c r="C509" s="124" t="s">
        <v>1594</v>
      </c>
      <c r="D509" s="124" t="s">
        <v>1296</v>
      </c>
      <c r="E509" s="124" t="s">
        <v>434</v>
      </c>
      <c r="F509" s="124" t="s">
        <v>1619</v>
      </c>
      <c r="G509" s="135">
        <v>0</v>
      </c>
      <c r="H509" s="135">
        <f>40000+6294.7+25350+12100+60+7580+930+20112+23000+27641.8+20000+1700+6000+22326+10+14000+103910.6+12000</f>
        <v>343015.1</v>
      </c>
      <c r="K509" s="135">
        <f>40000+6294.7+25350+12100+60+7580+930+20112+23000+27641.8+20000+1700+6000+22326+10+14000+103910.6+12000</f>
        <v>343015.1</v>
      </c>
      <c r="L509" s="604">
        <v>0</v>
      </c>
      <c r="M509" s="605">
        <f t="shared" si="34"/>
        <v>100</v>
      </c>
    </row>
    <row r="510" spans="1:13" ht="18.75" customHeight="1">
      <c r="A510" s="130" t="s">
        <v>910</v>
      </c>
      <c r="B510" s="184" t="s">
        <v>781</v>
      </c>
      <c r="C510" s="124" t="s">
        <v>1594</v>
      </c>
      <c r="D510" s="124" t="s">
        <v>1296</v>
      </c>
      <c r="E510" s="124" t="s">
        <v>434</v>
      </c>
      <c r="F510" s="124" t="s">
        <v>911</v>
      </c>
      <c r="G510" s="132">
        <f>G511</f>
        <v>0</v>
      </c>
      <c r="H510" s="132">
        <f>H511</f>
        <v>142</v>
      </c>
      <c r="K510" s="132">
        <f>K511</f>
        <v>130</v>
      </c>
      <c r="L510" s="604">
        <v>0</v>
      </c>
      <c r="M510" s="605">
        <f t="shared" si="34"/>
        <v>91.54929577464789</v>
      </c>
    </row>
    <row r="511" spans="1:13" ht="18.75" customHeight="1">
      <c r="A511" s="130" t="s">
        <v>589</v>
      </c>
      <c r="B511" s="184" t="s">
        <v>781</v>
      </c>
      <c r="C511" s="124" t="s">
        <v>1594</v>
      </c>
      <c r="D511" s="124" t="s">
        <v>1296</v>
      </c>
      <c r="E511" s="124" t="s">
        <v>434</v>
      </c>
      <c r="F511" s="124" t="s">
        <v>590</v>
      </c>
      <c r="G511" s="135">
        <v>0</v>
      </c>
      <c r="H511" s="135">
        <v>142</v>
      </c>
      <c r="K511" s="135">
        <v>130</v>
      </c>
      <c r="L511" s="604">
        <v>0</v>
      </c>
      <c r="M511" s="605">
        <f t="shared" si="34"/>
        <v>91.54929577464789</v>
      </c>
    </row>
    <row r="512" spans="1:13" ht="27" customHeight="1">
      <c r="A512" s="130" t="s">
        <v>659</v>
      </c>
      <c r="B512" s="184" t="s">
        <v>781</v>
      </c>
      <c r="C512" s="124" t="s">
        <v>1594</v>
      </c>
      <c r="D512" s="124" t="s">
        <v>1296</v>
      </c>
      <c r="E512" s="124" t="s">
        <v>1018</v>
      </c>
      <c r="F512" s="124"/>
      <c r="G512" s="132">
        <f>G513</f>
        <v>0</v>
      </c>
      <c r="H512" s="132">
        <f>H513</f>
        <v>2000</v>
      </c>
      <c r="K512" s="132">
        <f>K513</f>
        <v>2000</v>
      </c>
      <c r="L512" s="604">
        <v>0</v>
      </c>
      <c r="M512" s="605">
        <f t="shared" si="34"/>
        <v>100</v>
      </c>
    </row>
    <row r="513" spans="1:13" ht="23.25" customHeight="1">
      <c r="A513" s="129" t="s">
        <v>752</v>
      </c>
      <c r="B513" s="184" t="s">
        <v>781</v>
      </c>
      <c r="C513" s="124" t="s">
        <v>1594</v>
      </c>
      <c r="D513" s="124" t="s">
        <v>1296</v>
      </c>
      <c r="E513" s="124" t="s">
        <v>1018</v>
      </c>
      <c r="F513" s="124" t="s">
        <v>751</v>
      </c>
      <c r="G513" s="132">
        <f>G514</f>
        <v>0</v>
      </c>
      <c r="H513" s="132">
        <f>H514</f>
        <v>2000</v>
      </c>
      <c r="K513" s="132">
        <f>K514</f>
        <v>2000</v>
      </c>
      <c r="L513" s="604">
        <v>0</v>
      </c>
      <c r="M513" s="605">
        <f t="shared" si="34"/>
        <v>100</v>
      </c>
    </row>
    <row r="514" spans="1:13" ht="18.75" customHeight="1">
      <c r="A514" s="134" t="s">
        <v>1212</v>
      </c>
      <c r="B514" s="184" t="s">
        <v>781</v>
      </c>
      <c r="C514" s="124" t="s">
        <v>1594</v>
      </c>
      <c r="D514" s="124" t="s">
        <v>1296</v>
      </c>
      <c r="E514" s="124" t="s">
        <v>1018</v>
      </c>
      <c r="F514" s="124" t="s">
        <v>1436</v>
      </c>
      <c r="G514" s="135">
        <v>0</v>
      </c>
      <c r="H514" s="135">
        <v>2000</v>
      </c>
      <c r="K514" s="135">
        <v>2000</v>
      </c>
      <c r="L514" s="604">
        <v>0</v>
      </c>
      <c r="M514" s="605">
        <f t="shared" si="34"/>
        <v>100</v>
      </c>
    </row>
    <row r="515" spans="1:13" ht="24">
      <c r="A515" s="129" t="s">
        <v>1315</v>
      </c>
      <c r="B515" s="184" t="s">
        <v>781</v>
      </c>
      <c r="C515" s="124" t="s">
        <v>1594</v>
      </c>
      <c r="D515" s="124" t="s">
        <v>1296</v>
      </c>
      <c r="E515" s="124" t="s">
        <v>1316</v>
      </c>
      <c r="F515" s="124"/>
      <c r="G515" s="132">
        <f>G518+G520+G516</f>
        <v>0</v>
      </c>
      <c r="H515" s="132">
        <f>H518+H520+H516</f>
        <v>10000</v>
      </c>
      <c r="K515" s="132">
        <f>K518+K520+K516</f>
        <v>9981.6</v>
      </c>
      <c r="L515" s="604">
        <v>0</v>
      </c>
      <c r="M515" s="605">
        <f t="shared" si="34"/>
        <v>99.816</v>
      </c>
    </row>
    <row r="516" spans="1:13" ht="24">
      <c r="A516" s="130" t="s">
        <v>910</v>
      </c>
      <c r="B516" s="184" t="s">
        <v>781</v>
      </c>
      <c r="C516" s="124" t="s">
        <v>1594</v>
      </c>
      <c r="D516" s="124" t="s">
        <v>1296</v>
      </c>
      <c r="E516" s="124" t="s">
        <v>1019</v>
      </c>
      <c r="F516" s="124" t="s">
        <v>911</v>
      </c>
      <c r="G516" s="132">
        <f>G517</f>
        <v>0</v>
      </c>
      <c r="H516" s="132">
        <f>H517</f>
        <v>20</v>
      </c>
      <c r="K516" s="132">
        <f>K517</f>
        <v>20</v>
      </c>
      <c r="L516" s="604">
        <v>0</v>
      </c>
      <c r="M516" s="605">
        <f t="shared" si="34"/>
        <v>100</v>
      </c>
    </row>
    <row r="517" spans="1:13" ht="24">
      <c r="A517" s="130" t="s">
        <v>589</v>
      </c>
      <c r="B517" s="184" t="s">
        <v>781</v>
      </c>
      <c r="C517" s="124" t="s">
        <v>1594</v>
      </c>
      <c r="D517" s="124" t="s">
        <v>1296</v>
      </c>
      <c r="E517" s="124" t="s">
        <v>1019</v>
      </c>
      <c r="F517" s="124" t="s">
        <v>590</v>
      </c>
      <c r="G517" s="132">
        <v>0</v>
      </c>
      <c r="H517" s="132">
        <f>20</f>
        <v>20</v>
      </c>
      <c r="K517" s="132">
        <f>20</f>
        <v>20</v>
      </c>
      <c r="L517" s="604">
        <v>0</v>
      </c>
      <c r="M517" s="605">
        <f t="shared" si="34"/>
        <v>100</v>
      </c>
    </row>
    <row r="518" spans="1:13" ht="48">
      <c r="A518" s="130" t="s">
        <v>1311</v>
      </c>
      <c r="B518" s="184" t="s">
        <v>781</v>
      </c>
      <c r="C518" s="124" t="s">
        <v>1594</v>
      </c>
      <c r="D518" s="124" t="s">
        <v>1296</v>
      </c>
      <c r="E518" s="124" t="s">
        <v>1317</v>
      </c>
      <c r="F518" s="124" t="s">
        <v>1462</v>
      </c>
      <c r="G518" s="132">
        <f>G519</f>
        <v>0</v>
      </c>
      <c r="H518" s="132">
        <f>H519</f>
        <v>7948</v>
      </c>
      <c r="K518" s="132">
        <f>K519</f>
        <v>7935.3</v>
      </c>
      <c r="L518" s="604">
        <v>0</v>
      </c>
      <c r="M518" s="605">
        <f t="shared" si="34"/>
        <v>99.84021137393056</v>
      </c>
    </row>
    <row r="519" spans="1:13" ht="18.75" customHeight="1">
      <c r="A519" s="129" t="s">
        <v>105</v>
      </c>
      <c r="B519" s="184" t="s">
        <v>781</v>
      </c>
      <c r="C519" s="124" t="s">
        <v>1594</v>
      </c>
      <c r="D519" s="124" t="s">
        <v>1296</v>
      </c>
      <c r="E519" s="124" t="s">
        <v>1317</v>
      </c>
      <c r="F519" s="124" t="s">
        <v>106</v>
      </c>
      <c r="G519" s="135">
        <v>0</v>
      </c>
      <c r="H519" s="135">
        <f>1980+3672+2296</f>
        <v>7948</v>
      </c>
      <c r="K519" s="135">
        <v>7935.3</v>
      </c>
      <c r="L519" s="604">
        <v>0</v>
      </c>
      <c r="M519" s="605">
        <f t="shared" si="34"/>
        <v>99.84021137393056</v>
      </c>
    </row>
    <row r="520" spans="1:13" ht="18.75" customHeight="1">
      <c r="A520" s="130" t="s">
        <v>621</v>
      </c>
      <c r="B520" s="184" t="s">
        <v>781</v>
      </c>
      <c r="C520" s="124" t="s">
        <v>1594</v>
      </c>
      <c r="D520" s="124" t="s">
        <v>1296</v>
      </c>
      <c r="E520" s="124" t="s">
        <v>1317</v>
      </c>
      <c r="F520" s="124" t="s">
        <v>1704</v>
      </c>
      <c r="G520" s="132">
        <f>G521</f>
        <v>0</v>
      </c>
      <c r="H520" s="132">
        <f>H521</f>
        <v>2032</v>
      </c>
      <c r="K520" s="132">
        <f>K521</f>
        <v>2026.3</v>
      </c>
      <c r="L520" s="604">
        <v>0</v>
      </c>
      <c r="M520" s="605">
        <f t="shared" si="34"/>
        <v>99.71948818897638</v>
      </c>
    </row>
    <row r="521" spans="1:13" ht="29.25" customHeight="1">
      <c r="A521" s="130" t="s">
        <v>1312</v>
      </c>
      <c r="B521" s="184" t="s">
        <v>781</v>
      </c>
      <c r="C521" s="124" t="s">
        <v>1594</v>
      </c>
      <c r="D521" s="124" t="s">
        <v>1296</v>
      </c>
      <c r="E521" s="124" t="s">
        <v>1317</v>
      </c>
      <c r="F521" s="124" t="s">
        <v>1619</v>
      </c>
      <c r="G521" s="135">
        <v>0</v>
      </c>
      <c r="H521" s="135">
        <f>20+1328+684</f>
        <v>2032</v>
      </c>
      <c r="K521" s="135">
        <v>2026.3</v>
      </c>
      <c r="L521" s="604">
        <v>0</v>
      </c>
      <c r="M521" s="605">
        <f t="shared" si="34"/>
        <v>99.71948818897638</v>
      </c>
    </row>
    <row r="522" spans="1:13" ht="24">
      <c r="A522" s="143" t="s">
        <v>688</v>
      </c>
      <c r="B522" s="184" t="s">
        <v>781</v>
      </c>
      <c r="C522" s="124" t="s">
        <v>1594</v>
      </c>
      <c r="D522" s="124" t="s">
        <v>1296</v>
      </c>
      <c r="E522" s="124" t="s">
        <v>1265</v>
      </c>
      <c r="F522" s="124"/>
      <c r="G522" s="154">
        <f aca="true" t="shared" si="36" ref="G522:H524">G523</f>
        <v>0</v>
      </c>
      <c r="H522" s="154">
        <f t="shared" si="36"/>
        <v>100</v>
      </c>
      <c r="K522" s="154">
        <f>K523</f>
        <v>99.2</v>
      </c>
      <c r="L522" s="604">
        <v>0</v>
      </c>
      <c r="M522" s="605">
        <f t="shared" si="34"/>
        <v>99.2</v>
      </c>
    </row>
    <row r="523" spans="1:13" ht="24">
      <c r="A523" s="141" t="s">
        <v>967</v>
      </c>
      <c r="B523" s="184" t="s">
        <v>781</v>
      </c>
      <c r="C523" s="124" t="s">
        <v>1594</v>
      </c>
      <c r="D523" s="124" t="s">
        <v>1296</v>
      </c>
      <c r="E523" s="124" t="s">
        <v>1272</v>
      </c>
      <c r="F523" s="124"/>
      <c r="G523" s="154">
        <f t="shared" si="36"/>
        <v>0</v>
      </c>
      <c r="H523" s="154">
        <f t="shared" si="36"/>
        <v>100</v>
      </c>
      <c r="K523" s="154">
        <f>K524</f>
        <v>99.2</v>
      </c>
      <c r="L523" s="604">
        <v>0</v>
      </c>
      <c r="M523" s="605">
        <f t="shared" si="34"/>
        <v>99.2</v>
      </c>
    </row>
    <row r="524" spans="1:13" ht="24">
      <c r="A524" s="130" t="s">
        <v>1312</v>
      </c>
      <c r="B524" s="184" t="s">
        <v>781</v>
      </c>
      <c r="C524" s="124" t="s">
        <v>1594</v>
      </c>
      <c r="D524" s="124" t="s">
        <v>1296</v>
      </c>
      <c r="E524" s="124" t="s">
        <v>890</v>
      </c>
      <c r="F524" s="124" t="s">
        <v>1704</v>
      </c>
      <c r="G524" s="154">
        <f t="shared" si="36"/>
        <v>0</v>
      </c>
      <c r="H524" s="154">
        <f t="shared" si="36"/>
        <v>100</v>
      </c>
      <c r="K524" s="154">
        <f>K525</f>
        <v>99.2</v>
      </c>
      <c r="L524" s="604">
        <v>0</v>
      </c>
      <c r="M524" s="605">
        <f t="shared" si="34"/>
        <v>99.2</v>
      </c>
    </row>
    <row r="525" spans="1:13" ht="18.75" customHeight="1">
      <c r="A525" s="130" t="s">
        <v>621</v>
      </c>
      <c r="B525" s="184" t="s">
        <v>781</v>
      </c>
      <c r="C525" s="124" t="s">
        <v>1594</v>
      </c>
      <c r="D525" s="124" t="s">
        <v>1296</v>
      </c>
      <c r="E525" s="124" t="s">
        <v>890</v>
      </c>
      <c r="F525" s="124" t="s">
        <v>1619</v>
      </c>
      <c r="G525" s="135">
        <v>0</v>
      </c>
      <c r="H525" s="135">
        <f>600-500</f>
        <v>100</v>
      </c>
      <c r="K525" s="135">
        <v>99.2</v>
      </c>
      <c r="L525" s="604">
        <v>0</v>
      </c>
      <c r="M525" s="605">
        <f aca="true" t="shared" si="37" ref="M525:M588">K525/H525*100</f>
        <v>99.2</v>
      </c>
    </row>
    <row r="526" spans="1:13" ht="60">
      <c r="A526" s="130" t="s">
        <v>1048</v>
      </c>
      <c r="B526" s="184" t="s">
        <v>781</v>
      </c>
      <c r="C526" s="124" t="s">
        <v>1594</v>
      </c>
      <c r="D526" s="124" t="s">
        <v>1296</v>
      </c>
      <c r="E526" s="124" t="s">
        <v>1049</v>
      </c>
      <c r="F526" s="124"/>
      <c r="G526" s="132">
        <f>G527+G529</f>
        <v>0</v>
      </c>
      <c r="H526" s="132">
        <f>H527+H529</f>
        <v>13981</v>
      </c>
      <c r="K526" s="132">
        <f>K527+K529</f>
        <v>13195.9</v>
      </c>
      <c r="L526" s="604">
        <v>0</v>
      </c>
      <c r="M526" s="605">
        <f t="shared" si="37"/>
        <v>94.38452185108362</v>
      </c>
    </row>
    <row r="527" spans="1:13" ht="48">
      <c r="A527" s="130" t="s">
        <v>1311</v>
      </c>
      <c r="B527" s="184" t="s">
        <v>781</v>
      </c>
      <c r="C527" s="124" t="s">
        <v>1594</v>
      </c>
      <c r="D527" s="124" t="s">
        <v>1296</v>
      </c>
      <c r="E527" s="124" t="s">
        <v>1049</v>
      </c>
      <c r="F527" s="124" t="s">
        <v>1462</v>
      </c>
      <c r="G527" s="132">
        <f>G528</f>
        <v>0</v>
      </c>
      <c r="H527" s="132">
        <f>H528</f>
        <v>13758.5</v>
      </c>
      <c r="K527" s="132">
        <f>K528</f>
        <v>13195.9</v>
      </c>
      <c r="L527" s="604">
        <v>0</v>
      </c>
      <c r="M527" s="605">
        <f t="shared" si="37"/>
        <v>95.91089144892248</v>
      </c>
    </row>
    <row r="528" spans="1:13" ht="18.75" customHeight="1">
      <c r="A528" s="130" t="s">
        <v>1039</v>
      </c>
      <c r="B528" s="184" t="s">
        <v>781</v>
      </c>
      <c r="C528" s="124" t="s">
        <v>1594</v>
      </c>
      <c r="D528" s="124" t="s">
        <v>1296</v>
      </c>
      <c r="E528" s="124" t="s">
        <v>1049</v>
      </c>
      <c r="F528" s="124" t="s">
        <v>1432</v>
      </c>
      <c r="G528" s="135">
        <v>0</v>
      </c>
      <c r="H528" s="135">
        <v>13758.5</v>
      </c>
      <c r="K528" s="135">
        <v>13195.9</v>
      </c>
      <c r="L528" s="604">
        <v>0</v>
      </c>
      <c r="M528" s="605">
        <f t="shared" si="37"/>
        <v>95.91089144892248</v>
      </c>
    </row>
    <row r="529" spans="1:13" ht="24">
      <c r="A529" s="130" t="s">
        <v>1312</v>
      </c>
      <c r="B529" s="184" t="s">
        <v>781</v>
      </c>
      <c r="C529" s="124" t="s">
        <v>1594</v>
      </c>
      <c r="D529" s="124" t="s">
        <v>1296</v>
      </c>
      <c r="E529" s="124" t="s">
        <v>1049</v>
      </c>
      <c r="F529" s="124" t="s">
        <v>1704</v>
      </c>
      <c r="G529" s="132">
        <f>G530</f>
        <v>0</v>
      </c>
      <c r="H529" s="132">
        <f>H530</f>
        <v>222.5</v>
      </c>
      <c r="K529" s="132">
        <f>K530</f>
        <v>0</v>
      </c>
      <c r="L529" s="604">
        <v>0</v>
      </c>
      <c r="M529" s="605">
        <f t="shared" si="37"/>
        <v>0</v>
      </c>
    </row>
    <row r="530" spans="1:13" ht="18.75" customHeight="1">
      <c r="A530" s="130" t="s">
        <v>1406</v>
      </c>
      <c r="B530" s="184" t="s">
        <v>781</v>
      </c>
      <c r="C530" s="124" t="s">
        <v>1594</v>
      </c>
      <c r="D530" s="124" t="s">
        <v>1296</v>
      </c>
      <c r="E530" s="124" t="s">
        <v>1049</v>
      </c>
      <c r="F530" s="124" t="s">
        <v>1619</v>
      </c>
      <c r="G530" s="135">
        <v>0</v>
      </c>
      <c r="H530" s="135">
        <f>3439.5-3217</f>
        <v>222.5</v>
      </c>
      <c r="K530" s="135">
        <v>0</v>
      </c>
      <c r="L530" s="604">
        <v>0</v>
      </c>
      <c r="M530" s="605">
        <f t="shared" si="37"/>
        <v>0</v>
      </c>
    </row>
    <row r="531" spans="1:13" ht="25.5">
      <c r="A531" s="185" t="s">
        <v>1618</v>
      </c>
      <c r="B531" s="184" t="s">
        <v>781</v>
      </c>
      <c r="C531" s="148" t="s">
        <v>1627</v>
      </c>
      <c r="D531" s="148"/>
      <c r="E531" s="148"/>
      <c r="F531" s="148"/>
      <c r="G531" s="125">
        <f>G532+G553</f>
        <v>14987.1</v>
      </c>
      <c r="H531" s="125">
        <f>H532+H553</f>
        <v>10700.3</v>
      </c>
      <c r="K531" s="125">
        <f>K532+K553</f>
        <v>7640.400000000001</v>
      </c>
      <c r="L531" s="604">
        <f aca="true" t="shared" si="38" ref="L531:L586">K531/G531*100</f>
        <v>50.97984266469163</v>
      </c>
      <c r="M531" s="605">
        <f t="shared" si="37"/>
        <v>71.40360550638768</v>
      </c>
    </row>
    <row r="532" spans="1:13" ht="36">
      <c r="A532" s="133" t="s">
        <v>690</v>
      </c>
      <c r="B532" s="184" t="s">
        <v>781</v>
      </c>
      <c r="C532" s="124" t="s">
        <v>1627</v>
      </c>
      <c r="D532" s="124" t="s">
        <v>1626</v>
      </c>
      <c r="E532" s="124"/>
      <c r="F532" s="124"/>
      <c r="G532" s="132">
        <f>G533</f>
        <v>7972</v>
      </c>
      <c r="H532" s="132">
        <f>H533</f>
        <v>2572</v>
      </c>
      <c r="K532" s="132">
        <f>K533</f>
        <v>1864.8000000000002</v>
      </c>
      <c r="L532" s="604">
        <f t="shared" si="38"/>
        <v>23.391871550426497</v>
      </c>
      <c r="M532" s="605">
        <f t="shared" si="37"/>
        <v>72.50388802488337</v>
      </c>
    </row>
    <row r="533" spans="1:13" ht="24">
      <c r="A533" s="137" t="s">
        <v>1455</v>
      </c>
      <c r="B533" s="184" t="s">
        <v>781</v>
      </c>
      <c r="C533" s="124" t="s">
        <v>1627</v>
      </c>
      <c r="D533" s="124" t="s">
        <v>1626</v>
      </c>
      <c r="E533" s="124" t="s">
        <v>1241</v>
      </c>
      <c r="F533" s="124"/>
      <c r="G533" s="132">
        <f>G534+G544+G548</f>
        <v>7972</v>
      </c>
      <c r="H533" s="132">
        <f>H534+H544+H548</f>
        <v>2572</v>
      </c>
      <c r="K533" s="132">
        <f>K534+K544+K548</f>
        <v>1864.8000000000002</v>
      </c>
      <c r="L533" s="604">
        <f t="shared" si="38"/>
        <v>23.391871550426497</v>
      </c>
      <c r="M533" s="605">
        <f t="shared" si="37"/>
        <v>72.50388802488337</v>
      </c>
    </row>
    <row r="534" spans="1:13" ht="48">
      <c r="A534" s="129" t="s">
        <v>1456</v>
      </c>
      <c r="B534" s="184" t="s">
        <v>781</v>
      </c>
      <c r="C534" s="124" t="s">
        <v>1627</v>
      </c>
      <c r="D534" s="124" t="s">
        <v>1626</v>
      </c>
      <c r="E534" s="124" t="s">
        <v>1243</v>
      </c>
      <c r="F534" s="124"/>
      <c r="G534" s="132">
        <f>G535+G538</f>
        <v>812</v>
      </c>
      <c r="H534" s="132">
        <f>H535+H538</f>
        <v>812</v>
      </c>
      <c r="K534" s="132">
        <f>K535+K538</f>
        <v>707.5000000000001</v>
      </c>
      <c r="L534" s="604">
        <f t="shared" si="38"/>
        <v>87.1305418719212</v>
      </c>
      <c r="M534" s="605">
        <f t="shared" si="37"/>
        <v>87.1305418719212</v>
      </c>
    </row>
    <row r="535" spans="1:13" ht="36">
      <c r="A535" s="134" t="s">
        <v>1293</v>
      </c>
      <c r="B535" s="184" t="s">
        <v>781</v>
      </c>
      <c r="C535" s="124" t="s">
        <v>1627</v>
      </c>
      <c r="D535" s="124" t="s">
        <v>1626</v>
      </c>
      <c r="E535" s="124" t="s">
        <v>1249</v>
      </c>
      <c r="F535" s="124"/>
      <c r="G535" s="132">
        <f>G536</f>
        <v>681</v>
      </c>
      <c r="H535" s="132">
        <f>H536</f>
        <v>111</v>
      </c>
      <c r="K535" s="132">
        <f>K536</f>
        <v>110.6</v>
      </c>
      <c r="L535" s="604">
        <f t="shared" si="38"/>
        <v>16.240822320117474</v>
      </c>
      <c r="M535" s="605">
        <f t="shared" si="37"/>
        <v>99.63963963963963</v>
      </c>
    </row>
    <row r="536" spans="1:13" ht="24">
      <c r="A536" s="130" t="s">
        <v>1312</v>
      </c>
      <c r="B536" s="184" t="s">
        <v>781</v>
      </c>
      <c r="C536" s="124" t="s">
        <v>1627</v>
      </c>
      <c r="D536" s="124" t="s">
        <v>1626</v>
      </c>
      <c r="E536" s="124" t="s">
        <v>1249</v>
      </c>
      <c r="F536" s="124" t="s">
        <v>1704</v>
      </c>
      <c r="G536" s="132">
        <f>G537</f>
        <v>681</v>
      </c>
      <c r="H536" s="132">
        <f>H537</f>
        <v>111</v>
      </c>
      <c r="K536" s="132">
        <f>K537</f>
        <v>110.6</v>
      </c>
      <c r="L536" s="604">
        <f t="shared" si="38"/>
        <v>16.240822320117474</v>
      </c>
      <c r="M536" s="605">
        <f t="shared" si="37"/>
        <v>99.63963963963963</v>
      </c>
    </row>
    <row r="537" spans="1:13" ht="24">
      <c r="A537" s="130" t="s">
        <v>621</v>
      </c>
      <c r="B537" s="184" t="s">
        <v>781</v>
      </c>
      <c r="C537" s="124" t="s">
        <v>1627</v>
      </c>
      <c r="D537" s="124" t="s">
        <v>1626</v>
      </c>
      <c r="E537" s="124" t="s">
        <v>1249</v>
      </c>
      <c r="F537" s="124" t="s">
        <v>1619</v>
      </c>
      <c r="G537" s="135">
        <f>681</f>
        <v>681</v>
      </c>
      <c r="H537" s="135">
        <f>681-570</f>
        <v>111</v>
      </c>
      <c r="K537" s="135">
        <v>110.6</v>
      </c>
      <c r="L537" s="604">
        <f t="shared" si="38"/>
        <v>16.240822320117474</v>
      </c>
      <c r="M537" s="605">
        <f t="shared" si="37"/>
        <v>99.63963963963963</v>
      </c>
    </row>
    <row r="538" spans="1:13" ht="15">
      <c r="A538" s="137" t="s">
        <v>1063</v>
      </c>
      <c r="B538" s="184" t="s">
        <v>781</v>
      </c>
      <c r="C538" s="124" t="s">
        <v>1627</v>
      </c>
      <c r="D538" s="124" t="s">
        <v>1626</v>
      </c>
      <c r="E538" s="124" t="s">
        <v>1250</v>
      </c>
      <c r="F538" s="124"/>
      <c r="G538" s="132">
        <f>G539</f>
        <v>131</v>
      </c>
      <c r="H538" s="132">
        <f>H539</f>
        <v>701</v>
      </c>
      <c r="K538" s="132">
        <f>K539</f>
        <v>596.9000000000001</v>
      </c>
      <c r="L538" s="604">
        <f t="shared" si="38"/>
        <v>455.6488549618321</v>
      </c>
      <c r="M538" s="605">
        <f t="shared" si="37"/>
        <v>85.14978601997149</v>
      </c>
    </row>
    <row r="539" spans="1:13" ht="24">
      <c r="A539" s="134" t="s">
        <v>679</v>
      </c>
      <c r="B539" s="184" t="s">
        <v>781</v>
      </c>
      <c r="C539" s="124" t="s">
        <v>1627</v>
      </c>
      <c r="D539" s="124" t="s">
        <v>1626</v>
      </c>
      <c r="E539" s="124" t="s">
        <v>1250</v>
      </c>
      <c r="F539" s="124"/>
      <c r="G539" s="132">
        <f>G540+G542</f>
        <v>131</v>
      </c>
      <c r="H539" s="132">
        <f>H540+H542</f>
        <v>701</v>
      </c>
      <c r="K539" s="132">
        <f>K540+K542</f>
        <v>596.9000000000001</v>
      </c>
      <c r="L539" s="604">
        <f t="shared" si="38"/>
        <v>455.6488549618321</v>
      </c>
      <c r="M539" s="605">
        <f t="shared" si="37"/>
        <v>85.14978601997149</v>
      </c>
    </row>
    <row r="540" spans="1:13" ht="24">
      <c r="A540" s="130" t="s">
        <v>1312</v>
      </c>
      <c r="B540" s="184" t="s">
        <v>781</v>
      </c>
      <c r="C540" s="124" t="s">
        <v>1627</v>
      </c>
      <c r="D540" s="124" t="s">
        <v>1626</v>
      </c>
      <c r="E540" s="124" t="s">
        <v>1250</v>
      </c>
      <c r="F540" s="124" t="s">
        <v>1704</v>
      </c>
      <c r="G540" s="132">
        <f>G541</f>
        <v>52.5</v>
      </c>
      <c r="H540" s="132">
        <f>H541</f>
        <v>252.5</v>
      </c>
      <c r="K540" s="132">
        <f>K541</f>
        <v>226.8</v>
      </c>
      <c r="L540" s="604">
        <f t="shared" si="38"/>
        <v>432</v>
      </c>
      <c r="M540" s="605">
        <f t="shared" si="37"/>
        <v>89.82178217821783</v>
      </c>
    </row>
    <row r="541" spans="1:13" ht="24">
      <c r="A541" s="130" t="s">
        <v>1406</v>
      </c>
      <c r="B541" s="184" t="s">
        <v>781</v>
      </c>
      <c r="C541" s="124" t="s">
        <v>1627</v>
      </c>
      <c r="D541" s="124" t="s">
        <v>1626</v>
      </c>
      <c r="E541" s="124" t="s">
        <v>1250</v>
      </c>
      <c r="F541" s="124" t="s">
        <v>1619</v>
      </c>
      <c r="G541" s="135">
        <f>52.5</f>
        <v>52.5</v>
      </c>
      <c r="H541" s="135">
        <f>52.5+570-370</f>
        <v>252.5</v>
      </c>
      <c r="K541" s="135">
        <v>226.8</v>
      </c>
      <c r="L541" s="604">
        <f t="shared" si="38"/>
        <v>432</v>
      </c>
      <c r="M541" s="605">
        <f t="shared" si="37"/>
        <v>89.82178217821783</v>
      </c>
    </row>
    <row r="542" spans="1:13" ht="24">
      <c r="A542" s="130" t="s">
        <v>910</v>
      </c>
      <c r="B542" s="184" t="s">
        <v>781</v>
      </c>
      <c r="C542" s="124" t="s">
        <v>1627</v>
      </c>
      <c r="D542" s="124" t="s">
        <v>1626</v>
      </c>
      <c r="E542" s="124" t="s">
        <v>1250</v>
      </c>
      <c r="F542" s="124" t="s">
        <v>911</v>
      </c>
      <c r="G542" s="132">
        <f>G543</f>
        <v>78.5</v>
      </c>
      <c r="H542" s="132">
        <f>H543</f>
        <v>448.5</v>
      </c>
      <c r="K542" s="132">
        <f>K543</f>
        <v>370.1</v>
      </c>
      <c r="L542" s="604">
        <f t="shared" si="38"/>
        <v>471.4649681528663</v>
      </c>
      <c r="M542" s="605">
        <f t="shared" si="37"/>
        <v>82.51950947603122</v>
      </c>
    </row>
    <row r="543" spans="1:13" ht="24">
      <c r="A543" s="134" t="s">
        <v>912</v>
      </c>
      <c r="B543" s="184" t="s">
        <v>781</v>
      </c>
      <c r="C543" s="124" t="s">
        <v>1627</v>
      </c>
      <c r="D543" s="124" t="s">
        <v>1626</v>
      </c>
      <c r="E543" s="124" t="s">
        <v>1250</v>
      </c>
      <c r="F543" s="124" t="s">
        <v>913</v>
      </c>
      <c r="G543" s="135">
        <f>78.5</f>
        <v>78.5</v>
      </c>
      <c r="H543" s="135">
        <f>78.5+370</f>
        <v>448.5</v>
      </c>
      <c r="K543" s="135">
        <v>370.1</v>
      </c>
      <c r="L543" s="604">
        <f t="shared" si="38"/>
        <v>471.4649681528663</v>
      </c>
      <c r="M543" s="605">
        <f t="shared" si="37"/>
        <v>82.51950947603122</v>
      </c>
    </row>
    <row r="544" spans="1:13" ht="36">
      <c r="A544" s="129" t="s">
        <v>1457</v>
      </c>
      <c r="B544" s="184" t="s">
        <v>781</v>
      </c>
      <c r="C544" s="124" t="s">
        <v>1627</v>
      </c>
      <c r="D544" s="124" t="s">
        <v>1626</v>
      </c>
      <c r="E544" s="124" t="s">
        <v>1240</v>
      </c>
      <c r="F544" s="124"/>
      <c r="G544" s="132">
        <f aca="true" t="shared" si="39" ref="G544:H546">G545</f>
        <v>6560</v>
      </c>
      <c r="H544" s="132">
        <f t="shared" si="39"/>
        <v>1160</v>
      </c>
      <c r="K544" s="132">
        <f>K545</f>
        <v>626.8</v>
      </c>
      <c r="L544" s="604">
        <f t="shared" si="38"/>
        <v>9.554878048780486</v>
      </c>
      <c r="M544" s="605">
        <f t="shared" si="37"/>
        <v>54.03448275862068</v>
      </c>
    </row>
    <row r="545" spans="1:13" ht="24">
      <c r="A545" s="134" t="s">
        <v>1038</v>
      </c>
      <c r="B545" s="184" t="s">
        <v>781</v>
      </c>
      <c r="C545" s="124" t="s">
        <v>1627</v>
      </c>
      <c r="D545" s="124" t="s">
        <v>1626</v>
      </c>
      <c r="E545" s="124" t="s">
        <v>1251</v>
      </c>
      <c r="F545" s="124"/>
      <c r="G545" s="132">
        <f t="shared" si="39"/>
        <v>6560</v>
      </c>
      <c r="H545" s="132">
        <f t="shared" si="39"/>
        <v>1160</v>
      </c>
      <c r="K545" s="132">
        <f>K546</f>
        <v>626.8</v>
      </c>
      <c r="L545" s="604">
        <f t="shared" si="38"/>
        <v>9.554878048780486</v>
      </c>
      <c r="M545" s="605">
        <f t="shared" si="37"/>
        <v>54.03448275862068</v>
      </c>
    </row>
    <row r="546" spans="1:13" ht="24">
      <c r="A546" s="130" t="s">
        <v>1312</v>
      </c>
      <c r="B546" s="184" t="s">
        <v>781</v>
      </c>
      <c r="C546" s="124" t="s">
        <v>1627</v>
      </c>
      <c r="D546" s="124" t="s">
        <v>1626</v>
      </c>
      <c r="E546" s="124" t="s">
        <v>1251</v>
      </c>
      <c r="F546" s="124" t="s">
        <v>1704</v>
      </c>
      <c r="G546" s="132">
        <f t="shared" si="39"/>
        <v>6560</v>
      </c>
      <c r="H546" s="132">
        <f t="shared" si="39"/>
        <v>1160</v>
      </c>
      <c r="K546" s="132">
        <f>K547</f>
        <v>626.8</v>
      </c>
      <c r="L546" s="604">
        <f t="shared" si="38"/>
        <v>9.554878048780486</v>
      </c>
      <c r="M546" s="605">
        <f t="shared" si="37"/>
        <v>54.03448275862068</v>
      </c>
    </row>
    <row r="547" spans="1:13" ht="24">
      <c r="A547" s="130" t="s">
        <v>1406</v>
      </c>
      <c r="B547" s="184" t="s">
        <v>781</v>
      </c>
      <c r="C547" s="124" t="s">
        <v>1627</v>
      </c>
      <c r="D547" s="124" t="s">
        <v>1626</v>
      </c>
      <c r="E547" s="124" t="s">
        <v>1251</v>
      </c>
      <c r="F547" s="124" t="s">
        <v>1619</v>
      </c>
      <c r="G547" s="135">
        <f>6560</f>
        <v>6560</v>
      </c>
      <c r="H547" s="135">
        <f>6560-2000-3400</f>
        <v>1160</v>
      </c>
      <c r="K547" s="135">
        <v>626.8</v>
      </c>
      <c r="L547" s="604">
        <f t="shared" si="38"/>
        <v>9.554878048780486</v>
      </c>
      <c r="M547" s="605">
        <f t="shared" si="37"/>
        <v>54.03448275862068</v>
      </c>
    </row>
    <row r="548" spans="1:13" ht="36">
      <c r="A548" s="130" t="s">
        <v>1413</v>
      </c>
      <c r="B548" s="184" t="s">
        <v>781</v>
      </c>
      <c r="C548" s="124" t="s">
        <v>1627</v>
      </c>
      <c r="D548" s="124" t="s">
        <v>1626</v>
      </c>
      <c r="E548" s="124" t="s">
        <v>1414</v>
      </c>
      <c r="F548" s="124"/>
      <c r="G548" s="132">
        <f>G549+G551</f>
        <v>600</v>
      </c>
      <c r="H548" s="132">
        <f>H549+H551</f>
        <v>600</v>
      </c>
      <c r="K548" s="132">
        <f>K549+K551</f>
        <v>530.5</v>
      </c>
      <c r="L548" s="604">
        <f t="shared" si="38"/>
        <v>88.41666666666667</v>
      </c>
      <c r="M548" s="605">
        <f t="shared" si="37"/>
        <v>88.41666666666667</v>
      </c>
    </row>
    <row r="549" spans="1:13" ht="24">
      <c r="A549" s="130" t="s">
        <v>1312</v>
      </c>
      <c r="B549" s="184" t="s">
        <v>781</v>
      </c>
      <c r="C549" s="124" t="s">
        <v>1627</v>
      </c>
      <c r="D549" s="124" t="s">
        <v>1626</v>
      </c>
      <c r="E549" s="124" t="s">
        <v>1415</v>
      </c>
      <c r="F549" s="124" t="s">
        <v>1704</v>
      </c>
      <c r="G549" s="132">
        <f>G550</f>
        <v>200</v>
      </c>
      <c r="H549" s="132">
        <f>H550</f>
        <v>600</v>
      </c>
      <c r="K549" s="132">
        <f>K550</f>
        <v>530.5</v>
      </c>
      <c r="L549" s="604">
        <f t="shared" si="38"/>
        <v>265.25</v>
      </c>
      <c r="M549" s="605">
        <f t="shared" si="37"/>
        <v>88.41666666666667</v>
      </c>
    </row>
    <row r="550" spans="1:13" ht="24">
      <c r="A550" s="130" t="s">
        <v>1406</v>
      </c>
      <c r="B550" s="184" t="s">
        <v>781</v>
      </c>
      <c r="C550" s="124" t="s">
        <v>1627</v>
      </c>
      <c r="D550" s="124" t="s">
        <v>1626</v>
      </c>
      <c r="E550" s="124" t="s">
        <v>1415</v>
      </c>
      <c r="F550" s="124" t="s">
        <v>1619</v>
      </c>
      <c r="G550" s="135">
        <f>200</f>
        <v>200</v>
      </c>
      <c r="H550" s="135">
        <f>200+400</f>
        <v>600</v>
      </c>
      <c r="K550" s="135">
        <v>530.5</v>
      </c>
      <c r="L550" s="604">
        <f t="shared" si="38"/>
        <v>265.25</v>
      </c>
      <c r="M550" s="605">
        <f t="shared" si="37"/>
        <v>88.41666666666667</v>
      </c>
    </row>
    <row r="551" spans="1:13" ht="24">
      <c r="A551" s="130" t="s">
        <v>910</v>
      </c>
      <c r="B551" s="184" t="s">
        <v>781</v>
      </c>
      <c r="C551" s="124" t="s">
        <v>1627</v>
      </c>
      <c r="D551" s="124" t="s">
        <v>1626</v>
      </c>
      <c r="E551" s="124" t="s">
        <v>1415</v>
      </c>
      <c r="F551" s="124" t="s">
        <v>911</v>
      </c>
      <c r="G551" s="132">
        <f>G552</f>
        <v>400</v>
      </c>
      <c r="H551" s="132">
        <f>H552</f>
        <v>0</v>
      </c>
      <c r="K551" s="132">
        <f>K552</f>
        <v>0</v>
      </c>
      <c r="L551" s="604">
        <f t="shared" si="38"/>
        <v>0</v>
      </c>
      <c r="M551" s="604">
        <v>0</v>
      </c>
    </row>
    <row r="552" spans="1:13" ht="24">
      <c r="A552" s="134" t="s">
        <v>912</v>
      </c>
      <c r="B552" s="184" t="s">
        <v>781</v>
      </c>
      <c r="C552" s="124" t="s">
        <v>1627</v>
      </c>
      <c r="D552" s="124" t="s">
        <v>1626</v>
      </c>
      <c r="E552" s="124" t="s">
        <v>1415</v>
      </c>
      <c r="F552" s="124" t="s">
        <v>913</v>
      </c>
      <c r="G552" s="135">
        <f>400</f>
        <v>400</v>
      </c>
      <c r="H552" s="135">
        <f>400-400</f>
        <v>0</v>
      </c>
      <c r="K552" s="135">
        <f>400-400</f>
        <v>0</v>
      </c>
      <c r="L552" s="604">
        <f t="shared" si="38"/>
        <v>0</v>
      </c>
      <c r="M552" s="604">
        <v>0</v>
      </c>
    </row>
    <row r="553" spans="1:13" ht="24">
      <c r="A553" s="133" t="s">
        <v>678</v>
      </c>
      <c r="B553" s="184" t="s">
        <v>781</v>
      </c>
      <c r="C553" s="124" t="s">
        <v>1627</v>
      </c>
      <c r="D553" s="124" t="s">
        <v>1422</v>
      </c>
      <c r="E553" s="124"/>
      <c r="F553" s="124"/>
      <c r="G553" s="132">
        <f>G554+G558</f>
        <v>7015.1</v>
      </c>
      <c r="H553" s="132">
        <f>H554+H558</f>
        <v>8128.299999999999</v>
      </c>
      <c r="K553" s="132">
        <f>K554+K558</f>
        <v>5775.6</v>
      </c>
      <c r="L553" s="604">
        <f t="shared" si="38"/>
        <v>82.33097176091574</v>
      </c>
      <c r="M553" s="605">
        <f t="shared" si="37"/>
        <v>71.0554482487113</v>
      </c>
    </row>
    <row r="554" spans="1:13" ht="24">
      <c r="A554" s="137" t="s">
        <v>1455</v>
      </c>
      <c r="B554" s="184" t="s">
        <v>781</v>
      </c>
      <c r="C554" s="124" t="s">
        <v>1627</v>
      </c>
      <c r="D554" s="124" t="s">
        <v>1422</v>
      </c>
      <c r="E554" s="124" t="s">
        <v>1241</v>
      </c>
      <c r="F554" s="124"/>
      <c r="G554" s="132">
        <f aca="true" t="shared" si="40" ref="G554:H556">G555</f>
        <v>2084</v>
      </c>
      <c r="H554" s="132">
        <f t="shared" si="40"/>
        <v>2084</v>
      </c>
      <c r="K554" s="132">
        <f>K555</f>
        <v>1958.2</v>
      </c>
      <c r="L554" s="604">
        <f t="shared" si="38"/>
        <v>93.96353166986565</v>
      </c>
      <c r="M554" s="605">
        <f t="shared" si="37"/>
        <v>93.96353166986565</v>
      </c>
    </row>
    <row r="555" spans="1:13" ht="24">
      <c r="A555" s="129" t="s">
        <v>733</v>
      </c>
      <c r="B555" s="184" t="s">
        <v>781</v>
      </c>
      <c r="C555" s="124" t="s">
        <v>1627</v>
      </c>
      <c r="D555" s="124" t="s">
        <v>1422</v>
      </c>
      <c r="E555" s="124" t="s">
        <v>1416</v>
      </c>
      <c r="F555" s="124"/>
      <c r="G555" s="132">
        <f t="shared" si="40"/>
        <v>2084</v>
      </c>
      <c r="H555" s="132">
        <f t="shared" si="40"/>
        <v>2084</v>
      </c>
      <c r="K555" s="132">
        <f>K556</f>
        <v>1958.2</v>
      </c>
      <c r="L555" s="604">
        <f t="shared" si="38"/>
        <v>93.96353166986565</v>
      </c>
      <c r="M555" s="605">
        <f t="shared" si="37"/>
        <v>93.96353166986565</v>
      </c>
    </row>
    <row r="556" spans="1:13" ht="24">
      <c r="A556" s="130" t="s">
        <v>1312</v>
      </c>
      <c r="B556" s="184" t="s">
        <v>781</v>
      </c>
      <c r="C556" s="124" t="s">
        <v>1627</v>
      </c>
      <c r="D556" s="124" t="s">
        <v>1422</v>
      </c>
      <c r="E556" s="124" t="s">
        <v>1417</v>
      </c>
      <c r="F556" s="124" t="s">
        <v>1704</v>
      </c>
      <c r="G556" s="132">
        <f t="shared" si="40"/>
        <v>2084</v>
      </c>
      <c r="H556" s="132">
        <f t="shared" si="40"/>
        <v>2084</v>
      </c>
      <c r="K556" s="132">
        <f>K557</f>
        <v>1958.2</v>
      </c>
      <c r="L556" s="604">
        <f t="shared" si="38"/>
        <v>93.96353166986565</v>
      </c>
      <c r="M556" s="605">
        <f t="shared" si="37"/>
        <v>93.96353166986565</v>
      </c>
    </row>
    <row r="557" spans="1:13" ht="18.75" customHeight="1">
      <c r="A557" s="130" t="s">
        <v>621</v>
      </c>
      <c r="B557" s="184" t="s">
        <v>781</v>
      </c>
      <c r="C557" s="124" t="s">
        <v>1627</v>
      </c>
      <c r="D557" s="124" t="s">
        <v>1422</v>
      </c>
      <c r="E557" s="124" t="s">
        <v>1417</v>
      </c>
      <c r="F557" s="124" t="s">
        <v>1619</v>
      </c>
      <c r="G557" s="135">
        <v>2084</v>
      </c>
      <c r="H557" s="135">
        <v>2084</v>
      </c>
      <c r="K557" s="135">
        <v>1958.2</v>
      </c>
      <c r="L557" s="604">
        <f t="shared" si="38"/>
        <v>93.96353166986565</v>
      </c>
      <c r="M557" s="605">
        <f t="shared" si="37"/>
        <v>93.96353166986565</v>
      </c>
    </row>
    <row r="558" spans="1:13" ht="31.5" customHeight="1">
      <c r="A558" s="14" t="s">
        <v>734</v>
      </c>
      <c r="B558" s="184" t="s">
        <v>781</v>
      </c>
      <c r="C558" s="124" t="s">
        <v>1627</v>
      </c>
      <c r="D558" s="124" t="s">
        <v>1422</v>
      </c>
      <c r="E558" s="124" t="s">
        <v>735</v>
      </c>
      <c r="F558" s="124"/>
      <c r="G558" s="132">
        <f>G559+G561+G563</f>
        <v>4931.1</v>
      </c>
      <c r="H558" s="132">
        <f>H559+H561+H563</f>
        <v>6044.299999999999</v>
      </c>
      <c r="K558" s="132">
        <f>K559+K561+K563</f>
        <v>3817.4</v>
      </c>
      <c r="L558" s="604">
        <f t="shared" si="38"/>
        <v>77.41477560787654</v>
      </c>
      <c r="M558" s="605">
        <f t="shared" si="37"/>
        <v>63.15702397299936</v>
      </c>
    </row>
    <row r="559" spans="1:13" ht="24">
      <c r="A559" s="130" t="s">
        <v>1312</v>
      </c>
      <c r="B559" s="184" t="s">
        <v>781</v>
      </c>
      <c r="C559" s="124" t="s">
        <v>1627</v>
      </c>
      <c r="D559" s="124" t="s">
        <v>1422</v>
      </c>
      <c r="E559" s="124" t="s">
        <v>736</v>
      </c>
      <c r="F559" s="124" t="s">
        <v>1704</v>
      </c>
      <c r="G559" s="132">
        <f>G560</f>
        <v>3731.1</v>
      </c>
      <c r="H559" s="132">
        <f>H560</f>
        <v>1937.1</v>
      </c>
      <c r="K559" s="132">
        <f>K560</f>
        <v>1346.4</v>
      </c>
      <c r="L559" s="604">
        <f t="shared" si="38"/>
        <v>36.08587279890649</v>
      </c>
      <c r="M559" s="605">
        <f t="shared" si="37"/>
        <v>69.50596252129473</v>
      </c>
    </row>
    <row r="560" spans="1:13" ht="19.5" customHeight="1">
      <c r="A560" s="130" t="s">
        <v>1406</v>
      </c>
      <c r="B560" s="184" t="s">
        <v>781</v>
      </c>
      <c r="C560" s="124" t="s">
        <v>1627</v>
      </c>
      <c r="D560" s="124" t="s">
        <v>1422</v>
      </c>
      <c r="E560" s="124" t="s">
        <v>736</v>
      </c>
      <c r="F560" s="124" t="s">
        <v>1619</v>
      </c>
      <c r="G560" s="135">
        <v>3731.1</v>
      </c>
      <c r="H560" s="135">
        <f>3731.1+39-833-1000</f>
        <v>1937.1</v>
      </c>
      <c r="K560" s="135">
        <v>1346.4</v>
      </c>
      <c r="L560" s="604">
        <f t="shared" si="38"/>
        <v>36.08587279890649</v>
      </c>
      <c r="M560" s="605">
        <f t="shared" si="37"/>
        <v>69.50596252129473</v>
      </c>
    </row>
    <row r="561" spans="1:13" ht="24">
      <c r="A561" s="130" t="s">
        <v>910</v>
      </c>
      <c r="B561" s="184" t="s">
        <v>781</v>
      </c>
      <c r="C561" s="124" t="s">
        <v>1627</v>
      </c>
      <c r="D561" s="124" t="s">
        <v>1422</v>
      </c>
      <c r="E561" s="124" t="s">
        <v>736</v>
      </c>
      <c r="F561" s="124" t="s">
        <v>911</v>
      </c>
      <c r="G561" s="132">
        <f>G562</f>
        <v>1200</v>
      </c>
      <c r="H561" s="132">
        <f>H562</f>
        <v>500</v>
      </c>
      <c r="K561" s="132">
        <f>K562</f>
        <v>485.7</v>
      </c>
      <c r="L561" s="604">
        <f t="shared" si="38"/>
        <v>40.475</v>
      </c>
      <c r="M561" s="605">
        <f t="shared" si="37"/>
        <v>97.13999999999999</v>
      </c>
    </row>
    <row r="562" spans="1:13" ht="18" customHeight="1">
      <c r="A562" s="134" t="s">
        <v>912</v>
      </c>
      <c r="B562" s="184" t="s">
        <v>781</v>
      </c>
      <c r="C562" s="124" t="s">
        <v>1627</v>
      </c>
      <c r="D562" s="124" t="s">
        <v>1422</v>
      </c>
      <c r="E562" s="124" t="s">
        <v>736</v>
      </c>
      <c r="F562" s="124" t="s">
        <v>913</v>
      </c>
      <c r="G562" s="135">
        <f>1200</f>
        <v>1200</v>
      </c>
      <c r="H562" s="135">
        <f>1200-700</f>
        <v>500</v>
      </c>
      <c r="K562" s="135">
        <v>485.7</v>
      </c>
      <c r="L562" s="604">
        <f t="shared" si="38"/>
        <v>40.475</v>
      </c>
      <c r="M562" s="605">
        <f t="shared" si="37"/>
        <v>97.13999999999999</v>
      </c>
    </row>
    <row r="563" spans="1:13" ht="72">
      <c r="A563" s="134" t="s">
        <v>1318</v>
      </c>
      <c r="B563" s="184" t="s">
        <v>781</v>
      </c>
      <c r="C563" s="124" t="s">
        <v>1627</v>
      </c>
      <c r="D563" s="124" t="s">
        <v>1422</v>
      </c>
      <c r="E563" s="124" t="s">
        <v>1319</v>
      </c>
      <c r="F563" s="124"/>
      <c r="G563" s="132">
        <f>G564</f>
        <v>0</v>
      </c>
      <c r="H563" s="132">
        <f>H564</f>
        <v>3607.2</v>
      </c>
      <c r="K563" s="132">
        <f>K564</f>
        <v>1985.3</v>
      </c>
      <c r="L563" s="604">
        <v>0</v>
      </c>
      <c r="M563" s="605">
        <f t="shared" si="37"/>
        <v>55.03714792636949</v>
      </c>
    </row>
    <row r="564" spans="1:13" ht="24">
      <c r="A564" s="130" t="s">
        <v>1312</v>
      </c>
      <c r="B564" s="184" t="s">
        <v>781</v>
      </c>
      <c r="C564" s="124" t="s">
        <v>1627</v>
      </c>
      <c r="D564" s="124" t="s">
        <v>1422</v>
      </c>
      <c r="E564" s="124" t="s">
        <v>1319</v>
      </c>
      <c r="F564" s="124" t="s">
        <v>1704</v>
      </c>
      <c r="G564" s="132">
        <f>G565</f>
        <v>0</v>
      </c>
      <c r="H564" s="132">
        <f>H565</f>
        <v>3607.2</v>
      </c>
      <c r="K564" s="132">
        <f>K565</f>
        <v>1985.3</v>
      </c>
      <c r="L564" s="604">
        <v>0</v>
      </c>
      <c r="M564" s="605">
        <f t="shared" si="37"/>
        <v>55.03714792636949</v>
      </c>
    </row>
    <row r="565" spans="1:13" ht="24">
      <c r="A565" s="130" t="s">
        <v>1406</v>
      </c>
      <c r="B565" s="184" t="s">
        <v>781</v>
      </c>
      <c r="C565" s="124" t="s">
        <v>1627</v>
      </c>
      <c r="D565" s="124" t="s">
        <v>1422</v>
      </c>
      <c r="E565" s="124" t="s">
        <v>1319</v>
      </c>
      <c r="F565" s="124" t="s">
        <v>1619</v>
      </c>
      <c r="G565" s="135">
        <v>0</v>
      </c>
      <c r="H565" s="135">
        <f>3607.2</f>
        <v>3607.2</v>
      </c>
      <c r="K565" s="135">
        <v>1985.3</v>
      </c>
      <c r="L565" s="604">
        <v>0</v>
      </c>
      <c r="M565" s="605">
        <f t="shared" si="37"/>
        <v>55.03714792636949</v>
      </c>
    </row>
    <row r="566" spans="1:13" ht="15.75">
      <c r="A566" s="185" t="s">
        <v>1069</v>
      </c>
      <c r="B566" s="184" t="s">
        <v>781</v>
      </c>
      <c r="C566" s="187" t="s">
        <v>1064</v>
      </c>
      <c r="D566" s="187"/>
      <c r="E566" s="147"/>
      <c r="F566" s="147"/>
      <c r="G566" s="1">
        <f>G567++G581+G604+G626</f>
        <v>364501.57</v>
      </c>
      <c r="H566" s="1">
        <f>H567++H581+H604+H626</f>
        <v>517426.37</v>
      </c>
      <c r="K566" s="1">
        <f>K567++K581+K604+K626</f>
        <v>496886.89999999997</v>
      </c>
      <c r="L566" s="604">
        <f t="shared" si="38"/>
        <v>136.31955000907126</v>
      </c>
      <c r="M566" s="605">
        <f t="shared" si="37"/>
        <v>96.03045550229687</v>
      </c>
    </row>
    <row r="567" spans="1:13" ht="15">
      <c r="A567" s="133" t="s">
        <v>1703</v>
      </c>
      <c r="B567" s="184" t="s">
        <v>781</v>
      </c>
      <c r="C567" s="124" t="s">
        <v>1064</v>
      </c>
      <c r="D567" s="124" t="s">
        <v>815</v>
      </c>
      <c r="E567" s="124"/>
      <c r="F567" s="124"/>
      <c r="G567" s="132">
        <f>G568+G573</f>
        <v>106336.2</v>
      </c>
      <c r="H567" s="132">
        <f>H568+H573</f>
        <v>99590</v>
      </c>
      <c r="K567" s="132">
        <f>K568+K573</f>
        <v>99590</v>
      </c>
      <c r="L567" s="604">
        <f t="shared" si="38"/>
        <v>93.65578232060201</v>
      </c>
      <c r="M567" s="605">
        <f t="shared" si="37"/>
        <v>100</v>
      </c>
    </row>
    <row r="568" spans="1:13" ht="36">
      <c r="A568" s="141" t="s">
        <v>914</v>
      </c>
      <c r="B568" s="184" t="s">
        <v>781</v>
      </c>
      <c r="C568" s="124" t="s">
        <v>1064</v>
      </c>
      <c r="D568" s="124" t="s">
        <v>815</v>
      </c>
      <c r="E568" s="124" t="s">
        <v>1733</v>
      </c>
      <c r="F568" s="124"/>
      <c r="G568" s="132">
        <f aca="true" t="shared" si="41" ref="G568:H571">G569</f>
        <v>105836.2</v>
      </c>
      <c r="H568" s="132">
        <f t="shared" si="41"/>
        <v>99090</v>
      </c>
      <c r="K568" s="132">
        <f>K569</f>
        <v>99090</v>
      </c>
      <c r="L568" s="604">
        <f t="shared" si="38"/>
        <v>93.62581045048859</v>
      </c>
      <c r="M568" s="605">
        <f t="shared" si="37"/>
        <v>100</v>
      </c>
    </row>
    <row r="569" spans="1:13" ht="36">
      <c r="A569" s="129" t="s">
        <v>83</v>
      </c>
      <c r="B569" s="184" t="s">
        <v>781</v>
      </c>
      <c r="C569" s="124" t="s">
        <v>1064</v>
      </c>
      <c r="D569" s="124" t="s">
        <v>815</v>
      </c>
      <c r="E569" s="124" t="s">
        <v>1734</v>
      </c>
      <c r="F569" s="124"/>
      <c r="G569" s="132">
        <f t="shared" si="41"/>
        <v>105836.2</v>
      </c>
      <c r="H569" s="132">
        <f t="shared" si="41"/>
        <v>99090</v>
      </c>
      <c r="K569" s="132">
        <f>K570</f>
        <v>99090</v>
      </c>
      <c r="L569" s="604">
        <f t="shared" si="38"/>
        <v>93.62581045048859</v>
      </c>
      <c r="M569" s="605">
        <f t="shared" si="37"/>
        <v>100</v>
      </c>
    </row>
    <row r="570" spans="1:13" ht="15">
      <c r="A570" s="129" t="s">
        <v>392</v>
      </c>
      <c r="B570" s="184" t="s">
        <v>781</v>
      </c>
      <c r="C570" s="124" t="s">
        <v>1064</v>
      </c>
      <c r="D570" s="124" t="s">
        <v>815</v>
      </c>
      <c r="E570" s="124" t="s">
        <v>1735</v>
      </c>
      <c r="F570" s="124"/>
      <c r="G570" s="132">
        <f t="shared" si="41"/>
        <v>105836.2</v>
      </c>
      <c r="H570" s="132">
        <f t="shared" si="41"/>
        <v>99090</v>
      </c>
      <c r="K570" s="132">
        <f>K571</f>
        <v>99090</v>
      </c>
      <c r="L570" s="604">
        <f t="shared" si="38"/>
        <v>93.62581045048859</v>
      </c>
      <c r="M570" s="605">
        <f t="shared" si="37"/>
        <v>100</v>
      </c>
    </row>
    <row r="571" spans="1:13" ht="24">
      <c r="A571" s="130" t="s">
        <v>1312</v>
      </c>
      <c r="B571" s="184" t="s">
        <v>781</v>
      </c>
      <c r="C571" s="124" t="s">
        <v>1064</v>
      </c>
      <c r="D571" s="124" t="s">
        <v>815</v>
      </c>
      <c r="E571" s="124" t="s">
        <v>1735</v>
      </c>
      <c r="F571" s="124" t="s">
        <v>1704</v>
      </c>
      <c r="G571" s="132">
        <f t="shared" si="41"/>
        <v>105836.2</v>
      </c>
      <c r="H571" s="132">
        <f t="shared" si="41"/>
        <v>99090</v>
      </c>
      <c r="K571" s="132">
        <f>K572</f>
        <v>99090</v>
      </c>
      <c r="L571" s="604">
        <f t="shared" si="38"/>
        <v>93.62581045048859</v>
      </c>
      <c r="M571" s="605">
        <f t="shared" si="37"/>
        <v>100</v>
      </c>
    </row>
    <row r="572" spans="1:13" ht="18" customHeight="1">
      <c r="A572" s="130" t="s">
        <v>621</v>
      </c>
      <c r="B572" s="184" t="s">
        <v>781</v>
      </c>
      <c r="C572" s="124" t="s">
        <v>1064</v>
      </c>
      <c r="D572" s="124" t="s">
        <v>815</v>
      </c>
      <c r="E572" s="124" t="s">
        <v>1735</v>
      </c>
      <c r="F572" s="124" t="s">
        <v>1619</v>
      </c>
      <c r="G572" s="135">
        <f>105836.2</f>
        <v>105836.2</v>
      </c>
      <c r="H572" s="135">
        <f>105836.2-6746.2</f>
        <v>99090</v>
      </c>
      <c r="K572" s="135">
        <f>105836.2-6746.2</f>
        <v>99090</v>
      </c>
      <c r="L572" s="604">
        <f t="shared" si="38"/>
        <v>93.62581045048859</v>
      </c>
      <c r="M572" s="605">
        <f t="shared" si="37"/>
        <v>100</v>
      </c>
    </row>
    <row r="573" spans="1:13" ht="24">
      <c r="A573" s="141" t="s">
        <v>1044</v>
      </c>
      <c r="B573" s="184" t="s">
        <v>781</v>
      </c>
      <c r="C573" s="124" t="s">
        <v>1064</v>
      </c>
      <c r="D573" s="124" t="s">
        <v>815</v>
      </c>
      <c r="E573" s="124" t="s">
        <v>546</v>
      </c>
      <c r="F573" s="124"/>
      <c r="G573" s="132">
        <f>G574</f>
        <v>500</v>
      </c>
      <c r="H573" s="132">
        <f>H574</f>
        <v>500</v>
      </c>
      <c r="K573" s="132">
        <f>K574</f>
        <v>500</v>
      </c>
      <c r="L573" s="604">
        <f t="shared" si="38"/>
        <v>100</v>
      </c>
      <c r="M573" s="605">
        <f t="shared" si="37"/>
        <v>100</v>
      </c>
    </row>
    <row r="574" spans="1:13" ht="24">
      <c r="A574" s="130" t="s">
        <v>84</v>
      </c>
      <c r="B574" s="184" t="s">
        <v>781</v>
      </c>
      <c r="C574" s="124" t="s">
        <v>1064</v>
      </c>
      <c r="D574" s="124" t="s">
        <v>815</v>
      </c>
      <c r="E574" s="124" t="s">
        <v>547</v>
      </c>
      <c r="F574" s="124"/>
      <c r="G574" s="132">
        <f>G575+G578</f>
        <v>500</v>
      </c>
      <c r="H574" s="132">
        <f>H575+H578</f>
        <v>500</v>
      </c>
      <c r="K574" s="132">
        <f>K575+K578</f>
        <v>500</v>
      </c>
      <c r="L574" s="604">
        <f t="shared" si="38"/>
        <v>100</v>
      </c>
      <c r="M574" s="605">
        <f t="shared" si="37"/>
        <v>100</v>
      </c>
    </row>
    <row r="575" spans="1:13" ht="60">
      <c r="A575" s="134" t="s">
        <v>104</v>
      </c>
      <c r="B575" s="184" t="s">
        <v>781</v>
      </c>
      <c r="C575" s="124" t="s">
        <v>1064</v>
      </c>
      <c r="D575" s="124" t="s">
        <v>815</v>
      </c>
      <c r="E575" s="124" t="s">
        <v>85</v>
      </c>
      <c r="F575" s="124"/>
      <c r="G575" s="132">
        <f>G576</f>
        <v>123</v>
      </c>
      <c r="H575" s="132">
        <f>H576</f>
        <v>123</v>
      </c>
      <c r="K575" s="132">
        <f>K576</f>
        <v>123</v>
      </c>
      <c r="L575" s="604">
        <f t="shared" si="38"/>
        <v>100</v>
      </c>
      <c r="M575" s="605">
        <f t="shared" si="37"/>
        <v>100</v>
      </c>
    </row>
    <row r="576" spans="1:13" ht="22.5" customHeight="1">
      <c r="A576" s="130" t="s">
        <v>1312</v>
      </c>
      <c r="B576" s="184" t="s">
        <v>781</v>
      </c>
      <c r="C576" s="124" t="s">
        <v>1064</v>
      </c>
      <c r="D576" s="124" t="s">
        <v>815</v>
      </c>
      <c r="E576" s="124" t="s">
        <v>85</v>
      </c>
      <c r="F576" s="124" t="s">
        <v>1704</v>
      </c>
      <c r="G576" s="132">
        <f>G577</f>
        <v>123</v>
      </c>
      <c r="H576" s="132">
        <f>H577</f>
        <v>123</v>
      </c>
      <c r="K576" s="132">
        <f>K577</f>
        <v>123</v>
      </c>
      <c r="L576" s="604">
        <f t="shared" si="38"/>
        <v>100</v>
      </c>
      <c r="M576" s="605">
        <f t="shared" si="37"/>
        <v>100</v>
      </c>
    </row>
    <row r="577" spans="1:13" ht="15.75" customHeight="1">
      <c r="A577" s="130" t="s">
        <v>1406</v>
      </c>
      <c r="B577" s="184" t="s">
        <v>781</v>
      </c>
      <c r="C577" s="124" t="s">
        <v>1064</v>
      </c>
      <c r="D577" s="124" t="s">
        <v>815</v>
      </c>
      <c r="E577" s="124" t="s">
        <v>85</v>
      </c>
      <c r="F577" s="124" t="s">
        <v>1619</v>
      </c>
      <c r="G577" s="135">
        <v>123</v>
      </c>
      <c r="H577" s="135">
        <v>123</v>
      </c>
      <c r="K577" s="135">
        <v>123</v>
      </c>
      <c r="L577" s="604">
        <f t="shared" si="38"/>
        <v>100</v>
      </c>
      <c r="M577" s="605">
        <f t="shared" si="37"/>
        <v>100</v>
      </c>
    </row>
    <row r="578" spans="1:13" ht="48">
      <c r="A578" s="134" t="s">
        <v>1297</v>
      </c>
      <c r="B578" s="184" t="s">
        <v>781</v>
      </c>
      <c r="C578" s="124" t="s">
        <v>1064</v>
      </c>
      <c r="D578" s="124" t="s">
        <v>815</v>
      </c>
      <c r="E578" s="124" t="s">
        <v>86</v>
      </c>
      <c r="F578" s="124"/>
      <c r="G578" s="132">
        <f>G579</f>
        <v>377</v>
      </c>
      <c r="H578" s="132">
        <f>H579</f>
        <v>377</v>
      </c>
      <c r="K578" s="132">
        <f>K579</f>
        <v>377</v>
      </c>
      <c r="L578" s="604">
        <f t="shared" si="38"/>
        <v>100</v>
      </c>
      <c r="M578" s="605">
        <f t="shared" si="37"/>
        <v>100</v>
      </c>
    </row>
    <row r="579" spans="1:13" ht="24">
      <c r="A579" s="130" t="s">
        <v>1312</v>
      </c>
      <c r="B579" s="184" t="s">
        <v>781</v>
      </c>
      <c r="C579" s="124" t="s">
        <v>1064</v>
      </c>
      <c r="D579" s="124" t="s">
        <v>815</v>
      </c>
      <c r="E579" s="124" t="s">
        <v>86</v>
      </c>
      <c r="F579" s="124" t="s">
        <v>1704</v>
      </c>
      <c r="G579" s="132">
        <f>G580</f>
        <v>377</v>
      </c>
      <c r="H579" s="132">
        <f>H580</f>
        <v>377</v>
      </c>
      <c r="K579" s="132">
        <f>K580</f>
        <v>377</v>
      </c>
      <c r="L579" s="604">
        <f t="shared" si="38"/>
        <v>100</v>
      </c>
      <c r="M579" s="605">
        <f t="shared" si="37"/>
        <v>100</v>
      </c>
    </row>
    <row r="580" spans="1:13" ht="24">
      <c r="A580" s="130" t="s">
        <v>1406</v>
      </c>
      <c r="B580" s="184" t="s">
        <v>781</v>
      </c>
      <c r="C580" s="124" t="s">
        <v>1064</v>
      </c>
      <c r="D580" s="124" t="s">
        <v>815</v>
      </c>
      <c r="E580" s="124" t="s">
        <v>86</v>
      </c>
      <c r="F580" s="124" t="s">
        <v>1619</v>
      </c>
      <c r="G580" s="135">
        <v>377</v>
      </c>
      <c r="H580" s="135">
        <v>377</v>
      </c>
      <c r="K580" s="135">
        <v>377</v>
      </c>
      <c r="L580" s="604">
        <f t="shared" si="38"/>
        <v>100</v>
      </c>
      <c r="M580" s="605">
        <f t="shared" si="37"/>
        <v>100</v>
      </c>
    </row>
    <row r="581" spans="1:13" ht="15">
      <c r="A581" s="188" t="s">
        <v>1604</v>
      </c>
      <c r="B581" s="184" t="s">
        <v>781</v>
      </c>
      <c r="C581" s="124" t="s">
        <v>1064</v>
      </c>
      <c r="D581" s="124" t="s">
        <v>1626</v>
      </c>
      <c r="E581" s="124"/>
      <c r="F581" s="124"/>
      <c r="G581" s="132">
        <f>G582+G601</f>
        <v>238567</v>
      </c>
      <c r="H581" s="132">
        <f>H582+H601</f>
        <v>354995.5</v>
      </c>
      <c r="K581" s="132">
        <f>K582+K601</f>
        <v>335838.1</v>
      </c>
      <c r="L581" s="604">
        <f t="shared" si="38"/>
        <v>140.77307423071926</v>
      </c>
      <c r="M581" s="605">
        <f t="shared" si="37"/>
        <v>94.60348088919437</v>
      </c>
    </row>
    <row r="582" spans="1:13" ht="36">
      <c r="A582" s="141" t="s">
        <v>1708</v>
      </c>
      <c r="B582" s="184" t="s">
        <v>781</v>
      </c>
      <c r="C582" s="124" t="s">
        <v>1064</v>
      </c>
      <c r="D582" s="124" t="s">
        <v>1626</v>
      </c>
      <c r="E582" s="124" t="s">
        <v>1733</v>
      </c>
      <c r="F582" s="124"/>
      <c r="G582" s="132">
        <f>G586+G583+G598</f>
        <v>238567</v>
      </c>
      <c r="H582" s="132">
        <f>H586+H583+H598</f>
        <v>349905.5</v>
      </c>
      <c r="K582" s="132">
        <f>K586+K583+K598</f>
        <v>332582</v>
      </c>
      <c r="L582" s="604">
        <f t="shared" si="38"/>
        <v>139.4082165597086</v>
      </c>
      <c r="M582" s="605">
        <f t="shared" si="37"/>
        <v>95.04909182622166</v>
      </c>
    </row>
    <row r="583" spans="1:13" ht="36">
      <c r="A583" s="14" t="s">
        <v>87</v>
      </c>
      <c r="B583" s="184" t="s">
        <v>781</v>
      </c>
      <c r="C583" s="124" t="s">
        <v>1064</v>
      </c>
      <c r="D583" s="124" t="s">
        <v>1626</v>
      </c>
      <c r="E583" s="124" t="s">
        <v>915</v>
      </c>
      <c r="F583" s="124"/>
      <c r="G583" s="132">
        <f>G584</f>
        <v>20500</v>
      </c>
      <c r="H583" s="132">
        <f>H584</f>
        <v>31699.199999999997</v>
      </c>
      <c r="K583" s="132">
        <f>K584</f>
        <v>31622.3</v>
      </c>
      <c r="L583" s="604">
        <f t="shared" si="38"/>
        <v>154.2551219512195</v>
      </c>
      <c r="M583" s="605">
        <f t="shared" si="37"/>
        <v>99.75740712699374</v>
      </c>
    </row>
    <row r="584" spans="1:13" ht="24">
      <c r="A584" s="130" t="s">
        <v>1312</v>
      </c>
      <c r="B584" s="184" t="s">
        <v>781</v>
      </c>
      <c r="C584" s="124" t="s">
        <v>1064</v>
      </c>
      <c r="D584" s="124" t="s">
        <v>1626</v>
      </c>
      <c r="E584" s="124" t="s">
        <v>916</v>
      </c>
      <c r="F584" s="124" t="s">
        <v>1704</v>
      </c>
      <c r="G584" s="132">
        <f>G585</f>
        <v>20500</v>
      </c>
      <c r="H584" s="132">
        <f>H585</f>
        <v>31699.199999999997</v>
      </c>
      <c r="K584" s="132">
        <f>K585</f>
        <v>31622.3</v>
      </c>
      <c r="L584" s="604">
        <f t="shared" si="38"/>
        <v>154.2551219512195</v>
      </c>
      <c r="M584" s="605">
        <f t="shared" si="37"/>
        <v>99.75740712699374</v>
      </c>
    </row>
    <row r="585" spans="1:13" ht="18" customHeight="1">
      <c r="A585" s="130" t="s">
        <v>621</v>
      </c>
      <c r="B585" s="184" t="s">
        <v>781</v>
      </c>
      <c r="C585" s="124" t="s">
        <v>1064</v>
      </c>
      <c r="D585" s="124" t="s">
        <v>1626</v>
      </c>
      <c r="E585" s="124" t="s">
        <v>916</v>
      </c>
      <c r="F585" s="124" t="s">
        <v>1619</v>
      </c>
      <c r="G585" s="135">
        <f>20500</f>
        <v>20500</v>
      </c>
      <c r="H585" s="135">
        <f>20500+2500+1500+746.2+3385+6000+68-3000</f>
        <v>31699.199999999997</v>
      </c>
      <c r="K585" s="135">
        <v>31622.3</v>
      </c>
      <c r="L585" s="604">
        <f t="shared" si="38"/>
        <v>154.2551219512195</v>
      </c>
      <c r="M585" s="605">
        <f t="shared" si="37"/>
        <v>99.75740712699374</v>
      </c>
    </row>
    <row r="586" spans="1:13" ht="36">
      <c r="A586" s="129" t="s">
        <v>551</v>
      </c>
      <c r="B586" s="184" t="s">
        <v>781</v>
      </c>
      <c r="C586" s="124" t="s">
        <v>1064</v>
      </c>
      <c r="D586" s="124" t="s">
        <v>1626</v>
      </c>
      <c r="E586" s="124" t="s">
        <v>917</v>
      </c>
      <c r="F586" s="124"/>
      <c r="G586" s="132">
        <f>G587+G590+G592+G595</f>
        <v>179500</v>
      </c>
      <c r="H586" s="132">
        <f>H587+H590+H592+H595</f>
        <v>250973.59999999998</v>
      </c>
      <c r="K586" s="132">
        <f>K587+K590+K592+K595</f>
        <v>237046.8</v>
      </c>
      <c r="L586" s="604">
        <f t="shared" si="38"/>
        <v>132.05949860724232</v>
      </c>
      <c r="M586" s="605">
        <f t="shared" si="37"/>
        <v>94.45089045222286</v>
      </c>
    </row>
    <row r="587" spans="1:13" ht="24">
      <c r="A587" s="130" t="s">
        <v>1312</v>
      </c>
      <c r="B587" s="184" t="s">
        <v>781</v>
      </c>
      <c r="C587" s="124" t="s">
        <v>1064</v>
      </c>
      <c r="D587" s="124" t="s">
        <v>1626</v>
      </c>
      <c r="E587" s="124" t="s">
        <v>918</v>
      </c>
      <c r="F587" s="124" t="s">
        <v>1704</v>
      </c>
      <c r="G587" s="132">
        <f>G588</f>
        <v>69500</v>
      </c>
      <c r="H587" s="132">
        <f>H588</f>
        <v>114628.4</v>
      </c>
      <c r="K587" s="132">
        <f>K588</f>
        <v>101822.4</v>
      </c>
      <c r="L587" s="604">
        <f aca="true" t="shared" si="42" ref="L587:L645">K587/G587*100</f>
        <v>146.50705035971222</v>
      </c>
      <c r="M587" s="605">
        <f t="shared" si="37"/>
        <v>88.8282484968821</v>
      </c>
    </row>
    <row r="588" spans="1:13" ht="21" customHeight="1">
      <c r="A588" s="130" t="s">
        <v>1406</v>
      </c>
      <c r="B588" s="184" t="s">
        <v>781</v>
      </c>
      <c r="C588" s="124" t="s">
        <v>1064</v>
      </c>
      <c r="D588" s="124" t="s">
        <v>1626</v>
      </c>
      <c r="E588" s="124" t="s">
        <v>918</v>
      </c>
      <c r="F588" s="124" t="s">
        <v>1619</v>
      </c>
      <c r="G588" s="135">
        <f>69500</f>
        <v>69500</v>
      </c>
      <c r="H588" s="135">
        <f>69500+6000+3500+14591.4+3000+23613.5+3466.7+800+2150-800-29277+7000+8200+200+1135.7+424.8+1123.3</f>
        <v>114628.4</v>
      </c>
      <c r="K588" s="135">
        <v>101822.4</v>
      </c>
      <c r="L588" s="604">
        <f t="shared" si="42"/>
        <v>146.50705035971222</v>
      </c>
      <c r="M588" s="605">
        <f t="shared" si="37"/>
        <v>88.8282484968821</v>
      </c>
    </row>
    <row r="589" spans="1:13" ht="24">
      <c r="A589" s="129" t="s">
        <v>752</v>
      </c>
      <c r="B589" s="184" t="s">
        <v>781</v>
      </c>
      <c r="C589" s="124" t="s">
        <v>1064</v>
      </c>
      <c r="D589" s="124" t="s">
        <v>1626</v>
      </c>
      <c r="E589" s="124" t="s">
        <v>918</v>
      </c>
      <c r="F589" s="124" t="s">
        <v>751</v>
      </c>
      <c r="G589" s="132">
        <f>G590</f>
        <v>110000</v>
      </c>
      <c r="H589" s="132">
        <f>H590</f>
        <v>117134.7</v>
      </c>
      <c r="K589" s="132">
        <f>K590</f>
        <v>116602.1</v>
      </c>
      <c r="L589" s="604">
        <f t="shared" si="42"/>
        <v>106.0019090909091</v>
      </c>
      <c r="M589" s="605">
        <f aca="true" t="shared" si="43" ref="M589:M652">K589/H589*100</f>
        <v>99.54530980145083</v>
      </c>
    </row>
    <row r="590" spans="1:13" ht="22.5" customHeight="1">
      <c r="A590" s="134" t="s">
        <v>18</v>
      </c>
      <c r="B590" s="184" t="s">
        <v>781</v>
      </c>
      <c r="C590" s="124" t="s">
        <v>1064</v>
      </c>
      <c r="D590" s="124" t="s">
        <v>1626</v>
      </c>
      <c r="E590" s="124" t="s">
        <v>918</v>
      </c>
      <c r="F590" s="124" t="s">
        <v>1436</v>
      </c>
      <c r="G590" s="135">
        <f>110000+G591</f>
        <v>110000</v>
      </c>
      <c r="H590" s="135">
        <f>110000+H591+5704.7+800</f>
        <v>117134.7</v>
      </c>
      <c r="K590" s="135">
        <v>116602.1</v>
      </c>
      <c r="L590" s="604">
        <f t="shared" si="42"/>
        <v>106.0019090909091</v>
      </c>
      <c r="M590" s="605">
        <f t="shared" si="43"/>
        <v>99.54530980145083</v>
      </c>
    </row>
    <row r="591" spans="1:13" ht="22.5" customHeight="1">
      <c r="A591" s="134" t="s">
        <v>1050</v>
      </c>
      <c r="B591" s="184" t="s">
        <v>781</v>
      </c>
      <c r="C591" s="124" t="s">
        <v>1064</v>
      </c>
      <c r="D591" s="124" t="s">
        <v>1626</v>
      </c>
      <c r="E591" s="124" t="s">
        <v>918</v>
      </c>
      <c r="F591" s="124" t="s">
        <v>1436</v>
      </c>
      <c r="G591" s="135">
        <v>0</v>
      </c>
      <c r="H591" s="135">
        <v>630</v>
      </c>
      <c r="K591" s="135">
        <v>629</v>
      </c>
      <c r="L591" s="604">
        <v>0</v>
      </c>
      <c r="M591" s="605">
        <f t="shared" si="43"/>
        <v>99.84126984126985</v>
      </c>
    </row>
    <row r="592" spans="1:13" ht="22.5" customHeight="1">
      <c r="A592" s="134" t="s">
        <v>1320</v>
      </c>
      <c r="B592" s="184" t="s">
        <v>781</v>
      </c>
      <c r="C592" s="124" t="s">
        <v>1064</v>
      </c>
      <c r="D592" s="124" t="s">
        <v>1626</v>
      </c>
      <c r="E592" s="124" t="s">
        <v>1321</v>
      </c>
      <c r="F592" s="124"/>
      <c r="G592" s="132">
        <f>G593</f>
        <v>0</v>
      </c>
      <c r="H592" s="132">
        <f>H593</f>
        <v>11761.5</v>
      </c>
      <c r="K592" s="132">
        <f>K593</f>
        <v>11173.4</v>
      </c>
      <c r="L592" s="604">
        <v>0</v>
      </c>
      <c r="M592" s="605">
        <f t="shared" si="43"/>
        <v>94.99978744207796</v>
      </c>
    </row>
    <row r="593" spans="1:13" ht="22.5" customHeight="1">
      <c r="A593" s="130" t="s">
        <v>1312</v>
      </c>
      <c r="B593" s="184" t="s">
        <v>781</v>
      </c>
      <c r="C593" s="124" t="s">
        <v>1064</v>
      </c>
      <c r="D593" s="124" t="s">
        <v>1626</v>
      </c>
      <c r="E593" s="124" t="s">
        <v>1321</v>
      </c>
      <c r="F593" s="124" t="s">
        <v>1704</v>
      </c>
      <c r="G593" s="132">
        <f>G594</f>
        <v>0</v>
      </c>
      <c r="H593" s="132">
        <f>H594</f>
        <v>11761.5</v>
      </c>
      <c r="K593" s="132">
        <f>K594</f>
        <v>11173.4</v>
      </c>
      <c r="L593" s="604">
        <v>0</v>
      </c>
      <c r="M593" s="605">
        <f t="shared" si="43"/>
        <v>94.99978744207796</v>
      </c>
    </row>
    <row r="594" spans="1:13" ht="22.5" customHeight="1">
      <c r="A594" s="130" t="s">
        <v>1406</v>
      </c>
      <c r="B594" s="184" t="s">
        <v>781</v>
      </c>
      <c r="C594" s="124" t="s">
        <v>1064</v>
      </c>
      <c r="D594" s="124" t="s">
        <v>1626</v>
      </c>
      <c r="E594" s="124" t="s">
        <v>1321</v>
      </c>
      <c r="F594" s="124" t="s">
        <v>1619</v>
      </c>
      <c r="G594" s="135">
        <v>0</v>
      </c>
      <c r="H594" s="135">
        <v>11761.5</v>
      </c>
      <c r="K594" s="135">
        <v>11173.4</v>
      </c>
      <c r="L594" s="604">
        <v>0</v>
      </c>
      <c r="M594" s="605">
        <f t="shared" si="43"/>
        <v>94.99978744207796</v>
      </c>
    </row>
    <row r="595" spans="1:13" ht="48">
      <c r="A595" s="204" t="s">
        <v>660</v>
      </c>
      <c r="B595" s="184" t="s">
        <v>781</v>
      </c>
      <c r="C595" s="124" t="s">
        <v>1064</v>
      </c>
      <c r="D595" s="124" t="s">
        <v>1626</v>
      </c>
      <c r="E595" s="124" t="s">
        <v>661</v>
      </c>
      <c r="F595" s="124"/>
      <c r="G595" s="132">
        <f>G596</f>
        <v>0</v>
      </c>
      <c r="H595" s="132">
        <f>H596</f>
        <v>7449</v>
      </c>
      <c r="K595" s="132">
        <f>K596</f>
        <v>7448.9</v>
      </c>
      <c r="L595" s="604">
        <v>0</v>
      </c>
      <c r="M595" s="605">
        <f t="shared" si="43"/>
        <v>99.99865753792456</v>
      </c>
    </row>
    <row r="596" spans="1:13" ht="22.5" customHeight="1">
      <c r="A596" s="130" t="s">
        <v>1312</v>
      </c>
      <c r="B596" s="184" t="s">
        <v>781</v>
      </c>
      <c r="C596" s="124" t="s">
        <v>1064</v>
      </c>
      <c r="D596" s="124" t="s">
        <v>1626</v>
      </c>
      <c r="E596" s="124" t="s">
        <v>661</v>
      </c>
      <c r="F596" s="124" t="s">
        <v>1704</v>
      </c>
      <c r="G596" s="132">
        <f>G597</f>
        <v>0</v>
      </c>
      <c r="H596" s="132">
        <f>H597</f>
        <v>7449</v>
      </c>
      <c r="K596" s="132">
        <f>K597</f>
        <v>7448.9</v>
      </c>
      <c r="L596" s="604">
        <v>0</v>
      </c>
      <c r="M596" s="605">
        <f t="shared" si="43"/>
        <v>99.99865753792456</v>
      </c>
    </row>
    <row r="597" spans="1:13" ht="22.5" customHeight="1">
      <c r="A597" s="130" t="s">
        <v>1406</v>
      </c>
      <c r="B597" s="184" t="s">
        <v>781</v>
      </c>
      <c r="C597" s="124" t="s">
        <v>1064</v>
      </c>
      <c r="D597" s="124" t="s">
        <v>1626</v>
      </c>
      <c r="E597" s="124" t="s">
        <v>661</v>
      </c>
      <c r="F597" s="124" t="s">
        <v>1619</v>
      </c>
      <c r="G597" s="135">
        <v>0</v>
      </c>
      <c r="H597" s="135">
        <v>7449</v>
      </c>
      <c r="K597" s="135">
        <v>7448.9</v>
      </c>
      <c r="L597" s="604">
        <v>0</v>
      </c>
      <c r="M597" s="605">
        <f t="shared" si="43"/>
        <v>99.99865753792456</v>
      </c>
    </row>
    <row r="598" spans="1:13" ht="48">
      <c r="A598" s="134" t="s">
        <v>1051</v>
      </c>
      <c r="B598" s="184" t="s">
        <v>781</v>
      </c>
      <c r="C598" s="124" t="s">
        <v>1064</v>
      </c>
      <c r="D598" s="124" t="s">
        <v>1626</v>
      </c>
      <c r="E598" s="124" t="s">
        <v>81</v>
      </c>
      <c r="F598" s="124"/>
      <c r="G598" s="132">
        <f>G599</f>
        <v>38567</v>
      </c>
      <c r="H598" s="132">
        <f>H599</f>
        <v>67232.7</v>
      </c>
      <c r="K598" s="132">
        <f>K599</f>
        <v>63912.9</v>
      </c>
      <c r="L598" s="604">
        <f t="shared" si="42"/>
        <v>165.71913812326602</v>
      </c>
      <c r="M598" s="605">
        <f t="shared" si="43"/>
        <v>95.06222418555257</v>
      </c>
    </row>
    <row r="599" spans="1:13" ht="29.25" customHeight="1">
      <c r="A599" s="130" t="s">
        <v>1312</v>
      </c>
      <c r="B599" s="184" t="s">
        <v>781</v>
      </c>
      <c r="C599" s="124" t="s">
        <v>1064</v>
      </c>
      <c r="D599" s="124" t="s">
        <v>1626</v>
      </c>
      <c r="E599" s="124" t="s">
        <v>82</v>
      </c>
      <c r="F599" s="124" t="s">
        <v>1704</v>
      </c>
      <c r="G599" s="132">
        <f>G600</f>
        <v>38567</v>
      </c>
      <c r="H599" s="132">
        <f>H600</f>
        <v>67232.7</v>
      </c>
      <c r="K599" s="132">
        <f>K600</f>
        <v>63912.9</v>
      </c>
      <c r="L599" s="604">
        <f t="shared" si="42"/>
        <v>165.71913812326602</v>
      </c>
      <c r="M599" s="605">
        <f t="shared" si="43"/>
        <v>95.06222418555257</v>
      </c>
    </row>
    <row r="600" spans="1:13" ht="19.5" customHeight="1">
      <c r="A600" s="130" t="s">
        <v>1406</v>
      </c>
      <c r="B600" s="184" t="s">
        <v>781</v>
      </c>
      <c r="C600" s="124" t="s">
        <v>1064</v>
      </c>
      <c r="D600" s="124" t="s">
        <v>1626</v>
      </c>
      <c r="E600" s="124" t="s">
        <v>82</v>
      </c>
      <c r="F600" s="124" t="s">
        <v>1619</v>
      </c>
      <c r="G600" s="135">
        <f>56567-18000</f>
        <v>38567</v>
      </c>
      <c r="H600" s="135">
        <f>56567-18000+8443+6000+9070.8+6500-424.8-923.3</f>
        <v>67232.7</v>
      </c>
      <c r="K600" s="135">
        <v>63912.9</v>
      </c>
      <c r="L600" s="604">
        <f t="shared" si="42"/>
        <v>165.71913812326602</v>
      </c>
      <c r="M600" s="605">
        <f t="shared" si="43"/>
        <v>95.06222418555257</v>
      </c>
    </row>
    <row r="601" spans="1:13" ht="24">
      <c r="A601" s="130" t="s">
        <v>1052</v>
      </c>
      <c r="B601" s="184" t="s">
        <v>781</v>
      </c>
      <c r="C601" s="124" t="s">
        <v>1064</v>
      </c>
      <c r="D601" s="124" t="s">
        <v>1626</v>
      </c>
      <c r="E601" s="124" t="s">
        <v>1053</v>
      </c>
      <c r="F601" s="124"/>
      <c r="G601" s="132">
        <f>G602</f>
        <v>0</v>
      </c>
      <c r="H601" s="132">
        <f>H602</f>
        <v>5090</v>
      </c>
      <c r="K601" s="132">
        <f>K602</f>
        <v>3256.1</v>
      </c>
      <c r="L601" s="604">
        <v>0</v>
      </c>
      <c r="M601" s="605">
        <f t="shared" si="43"/>
        <v>63.9705304518664</v>
      </c>
    </row>
    <row r="602" spans="1:13" ht="19.5" customHeight="1">
      <c r="A602" s="130" t="s">
        <v>1312</v>
      </c>
      <c r="B602" s="184" t="s">
        <v>781</v>
      </c>
      <c r="C602" s="124" t="s">
        <v>1064</v>
      </c>
      <c r="D602" s="124" t="s">
        <v>1626</v>
      </c>
      <c r="E602" s="124" t="s">
        <v>1053</v>
      </c>
      <c r="F602" s="124" t="s">
        <v>1704</v>
      </c>
      <c r="G602" s="132">
        <f>G603</f>
        <v>0</v>
      </c>
      <c r="H602" s="132">
        <f>H603</f>
        <v>5090</v>
      </c>
      <c r="K602" s="132">
        <f>K603</f>
        <v>3256.1</v>
      </c>
      <c r="L602" s="604">
        <v>0</v>
      </c>
      <c r="M602" s="605">
        <f t="shared" si="43"/>
        <v>63.9705304518664</v>
      </c>
    </row>
    <row r="603" spans="1:13" ht="19.5" customHeight="1">
      <c r="A603" s="130" t="s">
        <v>1406</v>
      </c>
      <c r="B603" s="184" t="s">
        <v>781</v>
      </c>
      <c r="C603" s="124" t="s">
        <v>1064</v>
      </c>
      <c r="D603" s="124" t="s">
        <v>1626</v>
      </c>
      <c r="E603" s="124" t="s">
        <v>1053</v>
      </c>
      <c r="F603" s="124" t="s">
        <v>1619</v>
      </c>
      <c r="G603" s="135">
        <v>0</v>
      </c>
      <c r="H603" s="135">
        <f>2306+1300+1484</f>
        <v>5090</v>
      </c>
      <c r="K603" s="135">
        <v>3256.1</v>
      </c>
      <c r="L603" s="604">
        <v>0</v>
      </c>
      <c r="M603" s="605">
        <f t="shared" si="43"/>
        <v>63.9705304518664</v>
      </c>
    </row>
    <row r="604" spans="1:13" ht="15">
      <c r="A604" s="133" t="s">
        <v>1070</v>
      </c>
      <c r="B604" s="184" t="s">
        <v>781</v>
      </c>
      <c r="C604" s="124" t="s">
        <v>1064</v>
      </c>
      <c r="D604" s="124" t="s">
        <v>1624</v>
      </c>
      <c r="E604" s="124"/>
      <c r="F604" s="124"/>
      <c r="G604" s="132">
        <f>G605+G618</f>
        <v>15427.77</v>
      </c>
      <c r="H604" s="132">
        <f>H605+H618</f>
        <v>16142.77</v>
      </c>
      <c r="K604" s="132">
        <f>K605+K618</f>
        <v>15209</v>
      </c>
      <c r="L604" s="604">
        <f t="shared" si="42"/>
        <v>98.58197263765275</v>
      </c>
      <c r="M604" s="605">
        <f t="shared" si="43"/>
        <v>94.21555284501977</v>
      </c>
    </row>
    <row r="605" spans="1:13" ht="16.5" customHeight="1">
      <c r="A605" s="137" t="s">
        <v>1454</v>
      </c>
      <c r="B605" s="184" t="s">
        <v>781</v>
      </c>
      <c r="C605" s="124" t="s">
        <v>1064</v>
      </c>
      <c r="D605" s="124" t="s">
        <v>1624</v>
      </c>
      <c r="E605" s="124" t="s">
        <v>123</v>
      </c>
      <c r="F605" s="124"/>
      <c r="G605" s="132">
        <f>G606</f>
        <v>3285.77</v>
      </c>
      <c r="H605" s="132">
        <f>H606</f>
        <v>6827.77</v>
      </c>
      <c r="K605" s="132">
        <f>K606</f>
        <v>5919.400000000001</v>
      </c>
      <c r="L605" s="604">
        <f t="shared" si="42"/>
        <v>180.15259741247866</v>
      </c>
      <c r="M605" s="605">
        <f t="shared" si="43"/>
        <v>86.69594904339192</v>
      </c>
    </row>
    <row r="606" spans="1:13" ht="24">
      <c r="A606" s="129" t="s">
        <v>1355</v>
      </c>
      <c r="B606" s="184" t="s">
        <v>781</v>
      </c>
      <c r="C606" s="124" t="s">
        <v>1064</v>
      </c>
      <c r="D606" s="124" t="s">
        <v>1624</v>
      </c>
      <c r="E606" s="124" t="s">
        <v>457</v>
      </c>
      <c r="F606" s="124"/>
      <c r="G606" s="132">
        <f>G607+G610+G612+G614+G616</f>
        <v>3285.77</v>
      </c>
      <c r="H606" s="132">
        <f>H607+H610+H612+H614</f>
        <v>6827.77</v>
      </c>
      <c r="K606" s="132">
        <f>K607+K610+K612+K614</f>
        <v>5919.400000000001</v>
      </c>
      <c r="L606" s="604">
        <f t="shared" si="42"/>
        <v>180.15259741247866</v>
      </c>
      <c r="M606" s="605">
        <f t="shared" si="43"/>
        <v>86.69594904339192</v>
      </c>
    </row>
    <row r="607" spans="1:13" ht="84">
      <c r="A607" s="129" t="s">
        <v>427</v>
      </c>
      <c r="B607" s="184" t="s">
        <v>781</v>
      </c>
      <c r="C607" s="124" t="s">
        <v>1064</v>
      </c>
      <c r="D607" s="124" t="s">
        <v>1624</v>
      </c>
      <c r="E607" s="124" t="s">
        <v>522</v>
      </c>
      <c r="F607" s="124"/>
      <c r="G607" s="132">
        <f>G608</f>
        <v>1077.77</v>
      </c>
      <c r="H607" s="132">
        <f>H608</f>
        <v>1077.77</v>
      </c>
      <c r="K607" s="132">
        <f>K608</f>
        <v>177.3</v>
      </c>
      <c r="L607" s="604">
        <f t="shared" si="42"/>
        <v>16.45063417983429</v>
      </c>
      <c r="M607" s="605">
        <f t="shared" si="43"/>
        <v>16.45063417983429</v>
      </c>
    </row>
    <row r="608" spans="1:13" ht="24">
      <c r="A608" s="130" t="s">
        <v>1312</v>
      </c>
      <c r="B608" s="184" t="s">
        <v>781</v>
      </c>
      <c r="C608" s="124" t="s">
        <v>1064</v>
      </c>
      <c r="D608" s="124" t="s">
        <v>1624</v>
      </c>
      <c r="E608" s="124" t="s">
        <v>522</v>
      </c>
      <c r="F608" s="124" t="s">
        <v>1704</v>
      </c>
      <c r="G608" s="132">
        <f>G609</f>
        <v>1077.77</v>
      </c>
      <c r="H608" s="132">
        <f>H609</f>
        <v>1077.77</v>
      </c>
      <c r="K608" s="132">
        <f>K609</f>
        <v>177.3</v>
      </c>
      <c r="L608" s="604">
        <f t="shared" si="42"/>
        <v>16.45063417983429</v>
      </c>
      <c r="M608" s="605">
        <f t="shared" si="43"/>
        <v>16.45063417983429</v>
      </c>
    </row>
    <row r="609" spans="1:13" ht="19.5" customHeight="1">
      <c r="A609" s="130" t="s">
        <v>621</v>
      </c>
      <c r="B609" s="184" t="s">
        <v>781</v>
      </c>
      <c r="C609" s="124" t="s">
        <v>1064</v>
      </c>
      <c r="D609" s="124" t="s">
        <v>1624</v>
      </c>
      <c r="E609" s="124" t="s">
        <v>522</v>
      </c>
      <c r="F609" s="124" t="s">
        <v>1619</v>
      </c>
      <c r="G609" s="135">
        <v>1077.77</v>
      </c>
      <c r="H609" s="135">
        <v>1077.77</v>
      </c>
      <c r="K609" s="135">
        <v>177.3</v>
      </c>
      <c r="L609" s="604">
        <f t="shared" si="42"/>
        <v>16.45063417983429</v>
      </c>
      <c r="M609" s="605">
        <f t="shared" si="43"/>
        <v>16.45063417983429</v>
      </c>
    </row>
    <row r="610" spans="1:13" ht="24" hidden="1">
      <c r="A610" s="129" t="s">
        <v>752</v>
      </c>
      <c r="B610" s="184" t="s">
        <v>781</v>
      </c>
      <c r="C610" s="124" t="s">
        <v>1064</v>
      </c>
      <c r="D610" s="124" t="s">
        <v>1624</v>
      </c>
      <c r="E610" s="124" t="s">
        <v>1424</v>
      </c>
      <c r="F610" s="124" t="s">
        <v>751</v>
      </c>
      <c r="G610" s="132">
        <f>G611</f>
        <v>0</v>
      </c>
      <c r="H610" s="132">
        <f>H611</f>
        <v>0</v>
      </c>
      <c r="K610" s="132">
        <f>K611</f>
        <v>0</v>
      </c>
      <c r="L610" s="604" t="e">
        <f t="shared" si="42"/>
        <v>#DIV/0!</v>
      </c>
      <c r="M610" s="605" t="e">
        <f t="shared" si="43"/>
        <v>#DIV/0!</v>
      </c>
    </row>
    <row r="611" spans="1:13" ht="17.25" customHeight="1" hidden="1">
      <c r="A611" s="134" t="s">
        <v>1435</v>
      </c>
      <c r="B611" s="184" t="s">
        <v>781</v>
      </c>
      <c r="C611" s="124" t="s">
        <v>1064</v>
      </c>
      <c r="D611" s="124" t="s">
        <v>1624</v>
      </c>
      <c r="E611" s="124" t="s">
        <v>1424</v>
      </c>
      <c r="F611" s="124" t="s">
        <v>1436</v>
      </c>
      <c r="G611" s="135">
        <f>2208-2208</f>
        <v>0</v>
      </c>
      <c r="H611" s="135">
        <f>2208-2208</f>
        <v>0</v>
      </c>
      <c r="K611" s="135">
        <f>2208-2208</f>
        <v>0</v>
      </c>
      <c r="L611" s="604" t="e">
        <f t="shared" si="42"/>
        <v>#DIV/0!</v>
      </c>
      <c r="M611" s="605" t="e">
        <f t="shared" si="43"/>
        <v>#DIV/0!</v>
      </c>
    </row>
    <row r="612" spans="1:13" ht="48">
      <c r="A612" s="130" t="s">
        <v>1311</v>
      </c>
      <c r="B612" s="184" t="s">
        <v>781</v>
      </c>
      <c r="C612" s="124" t="s">
        <v>1064</v>
      </c>
      <c r="D612" s="124" t="s">
        <v>1624</v>
      </c>
      <c r="E612" s="124" t="s">
        <v>1424</v>
      </c>
      <c r="F612" s="124" t="s">
        <v>1462</v>
      </c>
      <c r="G612" s="132">
        <f>G613</f>
        <v>0</v>
      </c>
      <c r="H612" s="132">
        <f>H613</f>
        <v>5580</v>
      </c>
      <c r="K612" s="132">
        <f>K613</f>
        <v>5580</v>
      </c>
      <c r="L612" s="604">
        <v>0</v>
      </c>
      <c r="M612" s="605">
        <f t="shared" si="43"/>
        <v>100</v>
      </c>
    </row>
    <row r="613" spans="1:13" ht="17.25" customHeight="1">
      <c r="A613" s="129" t="s">
        <v>105</v>
      </c>
      <c r="B613" s="184" t="s">
        <v>781</v>
      </c>
      <c r="C613" s="124" t="s">
        <v>1064</v>
      </c>
      <c r="D613" s="124" t="s">
        <v>1624</v>
      </c>
      <c r="E613" s="124" t="s">
        <v>1424</v>
      </c>
      <c r="F613" s="124" t="s">
        <v>106</v>
      </c>
      <c r="G613" s="135">
        <v>0</v>
      </c>
      <c r="H613" s="135">
        <f>5442+98+40</f>
        <v>5580</v>
      </c>
      <c r="K613" s="135">
        <f>5442+98+40</f>
        <v>5580</v>
      </c>
      <c r="L613" s="604">
        <v>0</v>
      </c>
      <c r="M613" s="605">
        <f t="shared" si="43"/>
        <v>100</v>
      </c>
    </row>
    <row r="614" spans="1:13" ht="24.75" customHeight="1">
      <c r="A614" s="130" t="s">
        <v>1312</v>
      </c>
      <c r="B614" s="184" t="s">
        <v>781</v>
      </c>
      <c r="C614" s="124" t="s">
        <v>1064</v>
      </c>
      <c r="D614" s="124" t="s">
        <v>1624</v>
      </c>
      <c r="E614" s="124" t="s">
        <v>1424</v>
      </c>
      <c r="F614" s="124" t="s">
        <v>1704</v>
      </c>
      <c r="G614" s="132">
        <f>G615</f>
        <v>0</v>
      </c>
      <c r="H614" s="132">
        <f>H615</f>
        <v>170</v>
      </c>
      <c r="K614" s="132">
        <f>K615</f>
        <v>162.1</v>
      </c>
      <c r="L614" s="604">
        <v>0</v>
      </c>
      <c r="M614" s="605">
        <f t="shared" si="43"/>
        <v>95.35294117647058</v>
      </c>
    </row>
    <row r="615" spans="1:13" ht="17.25" customHeight="1">
      <c r="A615" s="130" t="s">
        <v>621</v>
      </c>
      <c r="B615" s="184" t="s">
        <v>781</v>
      </c>
      <c r="C615" s="124" t="s">
        <v>1064</v>
      </c>
      <c r="D615" s="124" t="s">
        <v>1624</v>
      </c>
      <c r="E615" s="124" t="s">
        <v>1424</v>
      </c>
      <c r="F615" s="124" t="s">
        <v>1619</v>
      </c>
      <c r="G615" s="135">
        <v>0</v>
      </c>
      <c r="H615" s="135">
        <f>142-7.4+35.4</f>
        <v>170</v>
      </c>
      <c r="K615" s="135">
        <v>162.1</v>
      </c>
      <c r="L615" s="604">
        <v>0</v>
      </c>
      <c r="M615" s="605">
        <f t="shared" si="43"/>
        <v>95.35294117647058</v>
      </c>
    </row>
    <row r="616" spans="1:13" ht="24">
      <c r="A616" s="129" t="s">
        <v>752</v>
      </c>
      <c r="B616" s="184" t="s">
        <v>781</v>
      </c>
      <c r="C616" s="124" t="s">
        <v>1064</v>
      </c>
      <c r="D616" s="124" t="s">
        <v>1624</v>
      </c>
      <c r="E616" s="124" t="s">
        <v>1424</v>
      </c>
      <c r="F616" s="124" t="s">
        <v>751</v>
      </c>
      <c r="G616" s="132">
        <f>G617</f>
        <v>2208</v>
      </c>
      <c r="H616" s="135">
        <v>0</v>
      </c>
      <c r="K616" s="135">
        <v>0</v>
      </c>
      <c r="L616" s="604">
        <f t="shared" si="42"/>
        <v>0</v>
      </c>
      <c r="M616" s="604">
        <v>0</v>
      </c>
    </row>
    <row r="617" spans="1:13" ht="24">
      <c r="A617" s="134" t="s">
        <v>1435</v>
      </c>
      <c r="B617" s="184" t="s">
        <v>781</v>
      </c>
      <c r="C617" s="124" t="s">
        <v>1064</v>
      </c>
      <c r="D617" s="124" t="s">
        <v>1624</v>
      </c>
      <c r="E617" s="124" t="s">
        <v>1424</v>
      </c>
      <c r="F617" s="124" t="s">
        <v>1436</v>
      </c>
      <c r="G617" s="135">
        <f>2208</f>
        <v>2208</v>
      </c>
      <c r="H617" s="135">
        <v>0</v>
      </c>
      <c r="K617" s="135">
        <v>0</v>
      </c>
      <c r="L617" s="604">
        <f t="shared" si="42"/>
        <v>0</v>
      </c>
      <c r="M617" s="604">
        <v>0</v>
      </c>
    </row>
    <row r="618" spans="1:13" ht="24">
      <c r="A618" s="141" t="s">
        <v>1351</v>
      </c>
      <c r="B618" s="184" t="s">
        <v>781</v>
      </c>
      <c r="C618" s="124" t="s">
        <v>1064</v>
      </c>
      <c r="D618" s="124" t="s">
        <v>1624</v>
      </c>
      <c r="E618" s="124" t="s">
        <v>548</v>
      </c>
      <c r="F618" s="124"/>
      <c r="G618" s="132">
        <f>G619</f>
        <v>12142</v>
      </c>
      <c r="H618" s="132">
        <f>H619</f>
        <v>9315</v>
      </c>
      <c r="K618" s="132">
        <f>K619</f>
        <v>9289.6</v>
      </c>
      <c r="L618" s="604">
        <f t="shared" si="42"/>
        <v>76.50798879920936</v>
      </c>
      <c r="M618" s="605">
        <f t="shared" si="43"/>
        <v>99.72732152442298</v>
      </c>
    </row>
    <row r="619" spans="1:13" ht="36">
      <c r="A619" s="134" t="s">
        <v>1352</v>
      </c>
      <c r="B619" s="184" t="s">
        <v>781</v>
      </c>
      <c r="C619" s="124" t="s">
        <v>1064</v>
      </c>
      <c r="D619" s="124" t="s">
        <v>1624</v>
      </c>
      <c r="E619" s="124" t="s">
        <v>1372</v>
      </c>
      <c r="F619" s="124"/>
      <c r="G619" s="132">
        <f>G620+G622+G624</f>
        <v>12142</v>
      </c>
      <c r="H619" s="132">
        <f>H620+H622</f>
        <v>9315</v>
      </c>
      <c r="K619" s="132">
        <f>K620+K622</f>
        <v>9289.6</v>
      </c>
      <c r="L619" s="604">
        <f t="shared" si="42"/>
        <v>76.50798879920936</v>
      </c>
      <c r="M619" s="605">
        <f t="shared" si="43"/>
        <v>99.72732152442298</v>
      </c>
    </row>
    <row r="620" spans="1:13" ht="48">
      <c r="A620" s="130" t="s">
        <v>1311</v>
      </c>
      <c r="B620" s="184" t="s">
        <v>781</v>
      </c>
      <c r="C620" s="124" t="s">
        <v>1064</v>
      </c>
      <c r="D620" s="124" t="s">
        <v>1624</v>
      </c>
      <c r="E620" s="124" t="s">
        <v>1353</v>
      </c>
      <c r="F620" s="124" t="s">
        <v>1462</v>
      </c>
      <c r="G620" s="132">
        <f>G621</f>
        <v>0</v>
      </c>
      <c r="H620" s="132">
        <f>H621</f>
        <v>8946</v>
      </c>
      <c r="K620" s="132">
        <f>K621</f>
        <v>8929.6</v>
      </c>
      <c r="L620" s="604">
        <v>0</v>
      </c>
      <c r="M620" s="605">
        <f t="shared" si="43"/>
        <v>99.81667784484686</v>
      </c>
    </row>
    <row r="621" spans="1:13" ht="24">
      <c r="A621" s="129" t="s">
        <v>105</v>
      </c>
      <c r="B621" s="184" t="s">
        <v>781</v>
      </c>
      <c r="C621" s="124" t="s">
        <v>1064</v>
      </c>
      <c r="D621" s="124" t="s">
        <v>1624</v>
      </c>
      <c r="E621" s="124" t="s">
        <v>1353</v>
      </c>
      <c r="F621" s="124" t="s">
        <v>106</v>
      </c>
      <c r="G621" s="135">
        <v>0</v>
      </c>
      <c r="H621" s="135">
        <f>8920+20+6</f>
        <v>8946</v>
      </c>
      <c r="K621" s="135">
        <v>8929.6</v>
      </c>
      <c r="L621" s="604">
        <v>0</v>
      </c>
      <c r="M621" s="605">
        <f t="shared" si="43"/>
        <v>99.81667784484686</v>
      </c>
    </row>
    <row r="622" spans="1:13" ht="24">
      <c r="A622" s="130" t="s">
        <v>1312</v>
      </c>
      <c r="B622" s="184" t="s">
        <v>781</v>
      </c>
      <c r="C622" s="124" t="s">
        <v>1064</v>
      </c>
      <c r="D622" s="124" t="s">
        <v>1624</v>
      </c>
      <c r="E622" s="124" t="s">
        <v>1353</v>
      </c>
      <c r="F622" s="124" t="s">
        <v>1704</v>
      </c>
      <c r="G622" s="132">
        <f>G623</f>
        <v>0</v>
      </c>
      <c r="H622" s="132">
        <f>H623</f>
        <v>369</v>
      </c>
      <c r="K622" s="132">
        <f>K623</f>
        <v>360</v>
      </c>
      <c r="L622" s="604">
        <v>0</v>
      </c>
      <c r="M622" s="605">
        <f t="shared" si="43"/>
        <v>97.5609756097561</v>
      </c>
    </row>
    <row r="623" spans="1:13" ht="24">
      <c r="A623" s="130" t="s">
        <v>621</v>
      </c>
      <c r="B623" s="184" t="s">
        <v>781</v>
      </c>
      <c r="C623" s="124" t="s">
        <v>1064</v>
      </c>
      <c r="D623" s="124" t="s">
        <v>1624</v>
      </c>
      <c r="E623" s="124" t="s">
        <v>1353</v>
      </c>
      <c r="F623" s="124" t="s">
        <v>1619</v>
      </c>
      <c r="G623" s="135">
        <v>0</v>
      </c>
      <c r="H623" s="135">
        <f>769-400</f>
        <v>369</v>
      </c>
      <c r="K623" s="135">
        <v>360</v>
      </c>
      <c r="L623" s="604">
        <v>0</v>
      </c>
      <c r="M623" s="605">
        <f t="shared" si="43"/>
        <v>97.5609756097561</v>
      </c>
    </row>
    <row r="624" spans="1:13" ht="24">
      <c r="A624" s="129" t="s">
        <v>752</v>
      </c>
      <c r="B624" s="184" t="s">
        <v>781</v>
      </c>
      <c r="C624" s="124" t="s">
        <v>1064</v>
      </c>
      <c r="D624" s="124" t="s">
        <v>1624</v>
      </c>
      <c r="E624" s="124" t="s">
        <v>1353</v>
      </c>
      <c r="F624" s="124" t="s">
        <v>751</v>
      </c>
      <c r="G624" s="132">
        <f>G625</f>
        <v>12142</v>
      </c>
      <c r="H624" s="132">
        <f>H625</f>
        <v>0</v>
      </c>
      <c r="K624" s="132">
        <f>K625</f>
        <v>0</v>
      </c>
      <c r="L624" s="604">
        <f t="shared" si="42"/>
        <v>0</v>
      </c>
      <c r="M624" s="604">
        <v>0</v>
      </c>
    </row>
    <row r="625" spans="1:13" ht="20.25" customHeight="1">
      <c r="A625" s="134" t="s">
        <v>1435</v>
      </c>
      <c r="B625" s="184" t="s">
        <v>781</v>
      </c>
      <c r="C625" s="124" t="s">
        <v>1064</v>
      </c>
      <c r="D625" s="124" t="s">
        <v>1624</v>
      </c>
      <c r="E625" s="124" t="s">
        <v>1353</v>
      </c>
      <c r="F625" s="124" t="s">
        <v>1436</v>
      </c>
      <c r="G625" s="135">
        <f>12142</f>
        <v>12142</v>
      </c>
      <c r="H625" s="135">
        <f>12142-12142</f>
        <v>0</v>
      </c>
      <c r="K625" s="135">
        <f>12142-12142</f>
        <v>0</v>
      </c>
      <c r="L625" s="604">
        <f t="shared" si="42"/>
        <v>0</v>
      </c>
      <c r="M625" s="604">
        <v>0</v>
      </c>
    </row>
    <row r="626" spans="1:13" ht="15">
      <c r="A626" s="133" t="s">
        <v>1694</v>
      </c>
      <c r="B626" s="184" t="s">
        <v>781</v>
      </c>
      <c r="C626" s="124" t="s">
        <v>1064</v>
      </c>
      <c r="D626" s="124" t="s">
        <v>1629</v>
      </c>
      <c r="E626" s="124"/>
      <c r="F626" s="148"/>
      <c r="G626" s="132">
        <f>G627+G634+G639</f>
        <v>4170.6</v>
      </c>
      <c r="H626" s="132">
        <f>H627+H634+H639</f>
        <v>46698.1</v>
      </c>
      <c r="K626" s="132">
        <f>K627+K634+K639</f>
        <v>46249.8</v>
      </c>
      <c r="L626" s="604">
        <f t="shared" si="42"/>
        <v>1108.9483527549992</v>
      </c>
      <c r="M626" s="605">
        <f t="shared" si="43"/>
        <v>99.04000376888996</v>
      </c>
    </row>
    <row r="627" spans="1:13" ht="21" customHeight="1">
      <c r="A627" s="137" t="s">
        <v>1454</v>
      </c>
      <c r="B627" s="184" t="s">
        <v>781</v>
      </c>
      <c r="C627" s="124" t="s">
        <v>1064</v>
      </c>
      <c r="D627" s="124" t="s">
        <v>1629</v>
      </c>
      <c r="E627" s="124" t="s">
        <v>123</v>
      </c>
      <c r="F627" s="124"/>
      <c r="G627" s="132">
        <f>G628</f>
        <v>2450</v>
      </c>
      <c r="H627" s="132">
        <f>H628</f>
        <v>41300</v>
      </c>
      <c r="K627" s="132">
        <f>K628</f>
        <v>41298.8</v>
      </c>
      <c r="L627" s="604">
        <f t="shared" si="42"/>
        <v>1685.6653061224492</v>
      </c>
      <c r="M627" s="605">
        <f t="shared" si="43"/>
        <v>99.99709443099275</v>
      </c>
    </row>
    <row r="628" spans="1:13" ht="72">
      <c r="A628" s="134" t="s">
        <v>490</v>
      </c>
      <c r="B628" s="184" t="s">
        <v>781</v>
      </c>
      <c r="C628" s="124" t="s">
        <v>1064</v>
      </c>
      <c r="D628" s="124" t="s">
        <v>1629</v>
      </c>
      <c r="E628" s="124" t="s">
        <v>1248</v>
      </c>
      <c r="F628" s="124"/>
      <c r="G628" s="132">
        <f>G629</f>
        <v>2450</v>
      </c>
      <c r="H628" s="132">
        <f>H629</f>
        <v>41300</v>
      </c>
      <c r="K628" s="132">
        <f>K629</f>
        <v>41298.8</v>
      </c>
      <c r="L628" s="604">
        <f t="shared" si="42"/>
        <v>1685.6653061224492</v>
      </c>
      <c r="M628" s="605">
        <f t="shared" si="43"/>
        <v>99.99709443099275</v>
      </c>
    </row>
    <row r="629" spans="1:13" ht="15">
      <c r="A629" s="14" t="s">
        <v>509</v>
      </c>
      <c r="B629" s="184" t="s">
        <v>781</v>
      </c>
      <c r="C629" s="124" t="s">
        <v>1064</v>
      </c>
      <c r="D629" s="124" t="s">
        <v>1629</v>
      </c>
      <c r="E629" s="124" t="s">
        <v>491</v>
      </c>
      <c r="F629" s="148"/>
      <c r="G629" s="132">
        <f>G630+G632</f>
        <v>2450</v>
      </c>
      <c r="H629" s="132">
        <f>H630+H632</f>
        <v>41300</v>
      </c>
      <c r="K629" s="132">
        <f>K630+K632</f>
        <v>41298.8</v>
      </c>
      <c r="L629" s="604">
        <f t="shared" si="42"/>
        <v>1685.6653061224492</v>
      </c>
      <c r="M629" s="605">
        <f t="shared" si="43"/>
        <v>99.99709443099275</v>
      </c>
    </row>
    <row r="630" spans="1:13" ht="24">
      <c r="A630" s="130" t="s">
        <v>1312</v>
      </c>
      <c r="B630" s="184" t="s">
        <v>781</v>
      </c>
      <c r="C630" s="124" t="s">
        <v>1064</v>
      </c>
      <c r="D630" s="124" t="s">
        <v>1629</v>
      </c>
      <c r="E630" s="124" t="s">
        <v>491</v>
      </c>
      <c r="F630" s="148" t="s">
        <v>1704</v>
      </c>
      <c r="G630" s="132">
        <f>G631</f>
        <v>2450</v>
      </c>
      <c r="H630" s="132">
        <f>H631</f>
        <v>1300</v>
      </c>
      <c r="K630" s="132">
        <f>K631</f>
        <v>1298.8</v>
      </c>
      <c r="L630" s="604">
        <f t="shared" si="42"/>
        <v>53.012244897959185</v>
      </c>
      <c r="M630" s="605">
        <f t="shared" si="43"/>
        <v>99.90769230769232</v>
      </c>
    </row>
    <row r="631" spans="1:13" ht="15">
      <c r="A631" s="130" t="s">
        <v>1406</v>
      </c>
      <c r="B631" s="184" t="s">
        <v>781</v>
      </c>
      <c r="C631" s="124" t="s">
        <v>1064</v>
      </c>
      <c r="D631" s="124" t="s">
        <v>1629</v>
      </c>
      <c r="E631" s="124" t="s">
        <v>491</v>
      </c>
      <c r="F631" s="148" t="s">
        <v>1619</v>
      </c>
      <c r="G631" s="135">
        <f>2450</f>
        <v>2450</v>
      </c>
      <c r="H631" s="135">
        <f>2450-100-50-1000</f>
        <v>1300</v>
      </c>
      <c r="K631" s="135">
        <v>1298.8</v>
      </c>
      <c r="L631" s="604">
        <f t="shared" si="42"/>
        <v>53.012244897959185</v>
      </c>
      <c r="M631" s="605">
        <f t="shared" si="43"/>
        <v>99.90769230769232</v>
      </c>
    </row>
    <row r="632" spans="1:13" ht="24">
      <c r="A632" s="130" t="s">
        <v>592</v>
      </c>
      <c r="B632" s="184" t="s">
        <v>781</v>
      </c>
      <c r="C632" s="124" t="s">
        <v>1064</v>
      </c>
      <c r="D632" s="124" t="s">
        <v>1629</v>
      </c>
      <c r="E632" s="124" t="s">
        <v>491</v>
      </c>
      <c r="F632" s="148" t="s">
        <v>107</v>
      </c>
      <c r="G632" s="132">
        <f>G633</f>
        <v>0</v>
      </c>
      <c r="H632" s="132">
        <f>H633</f>
        <v>40000</v>
      </c>
      <c r="K632" s="132">
        <f>K633</f>
        <v>40000</v>
      </c>
      <c r="L632" s="604">
        <v>0</v>
      </c>
      <c r="M632" s="605">
        <f t="shared" si="43"/>
        <v>100</v>
      </c>
    </row>
    <row r="633" spans="1:13" ht="15">
      <c r="A633" s="130" t="s">
        <v>1528</v>
      </c>
      <c r="B633" s="184" t="s">
        <v>781</v>
      </c>
      <c r="C633" s="124" t="s">
        <v>1064</v>
      </c>
      <c r="D633" s="124" t="s">
        <v>1629</v>
      </c>
      <c r="E633" s="124" t="s">
        <v>491</v>
      </c>
      <c r="F633" s="148" t="s">
        <v>1529</v>
      </c>
      <c r="G633" s="135">
        <v>0</v>
      </c>
      <c r="H633" s="135">
        <v>40000</v>
      </c>
      <c r="K633" s="135">
        <v>40000</v>
      </c>
      <c r="L633" s="604">
        <v>0</v>
      </c>
      <c r="M633" s="605">
        <f t="shared" si="43"/>
        <v>100</v>
      </c>
    </row>
    <row r="634" spans="1:13" ht="24">
      <c r="A634" s="149" t="s">
        <v>492</v>
      </c>
      <c r="B634" s="184" t="s">
        <v>781</v>
      </c>
      <c r="C634" s="124" t="s">
        <v>1064</v>
      </c>
      <c r="D634" s="124" t="s">
        <v>1629</v>
      </c>
      <c r="E634" s="124" t="s">
        <v>1727</v>
      </c>
      <c r="F634" s="148"/>
      <c r="G634" s="132">
        <f aca="true" t="shared" si="44" ref="G634:H637">G635</f>
        <v>720.6</v>
      </c>
      <c r="H634" s="132">
        <f t="shared" si="44"/>
        <v>2798.1</v>
      </c>
      <c r="K634" s="132">
        <f>K635</f>
        <v>2728.5</v>
      </c>
      <c r="L634" s="604">
        <f t="shared" si="42"/>
        <v>378.6427976686095</v>
      </c>
      <c r="M634" s="605">
        <f t="shared" si="43"/>
        <v>97.51259783424467</v>
      </c>
    </row>
    <row r="635" spans="1:13" ht="24">
      <c r="A635" s="130" t="s">
        <v>493</v>
      </c>
      <c r="B635" s="184" t="s">
        <v>781</v>
      </c>
      <c r="C635" s="124" t="s">
        <v>1064</v>
      </c>
      <c r="D635" s="124" t="s">
        <v>1629</v>
      </c>
      <c r="E635" s="124" t="s">
        <v>1508</v>
      </c>
      <c r="F635" s="148"/>
      <c r="G635" s="132">
        <f t="shared" si="44"/>
        <v>720.6</v>
      </c>
      <c r="H635" s="132">
        <f t="shared" si="44"/>
        <v>2798.1</v>
      </c>
      <c r="K635" s="132">
        <f>K636</f>
        <v>2728.5</v>
      </c>
      <c r="L635" s="604">
        <f t="shared" si="42"/>
        <v>378.6427976686095</v>
      </c>
      <c r="M635" s="605">
        <f t="shared" si="43"/>
        <v>97.51259783424467</v>
      </c>
    </row>
    <row r="636" spans="1:13" ht="48">
      <c r="A636" s="129" t="s">
        <v>100</v>
      </c>
      <c r="B636" s="184" t="s">
        <v>781</v>
      </c>
      <c r="C636" s="124" t="s">
        <v>1064</v>
      </c>
      <c r="D636" s="124" t="s">
        <v>1629</v>
      </c>
      <c r="E636" s="124" t="s">
        <v>494</v>
      </c>
      <c r="F636" s="148"/>
      <c r="G636" s="132">
        <f t="shared" si="44"/>
        <v>720.6</v>
      </c>
      <c r="H636" s="132">
        <f t="shared" si="44"/>
        <v>2798.1</v>
      </c>
      <c r="K636" s="132">
        <f>K637</f>
        <v>2728.5</v>
      </c>
      <c r="L636" s="604">
        <f t="shared" si="42"/>
        <v>378.6427976686095</v>
      </c>
      <c r="M636" s="605">
        <f t="shared" si="43"/>
        <v>97.51259783424467</v>
      </c>
    </row>
    <row r="637" spans="1:13" ht="24">
      <c r="A637" s="129" t="s">
        <v>752</v>
      </c>
      <c r="B637" s="184" t="s">
        <v>781</v>
      </c>
      <c r="C637" s="124" t="s">
        <v>1064</v>
      </c>
      <c r="D637" s="124" t="s">
        <v>1629</v>
      </c>
      <c r="E637" s="124" t="s">
        <v>494</v>
      </c>
      <c r="F637" s="148" t="s">
        <v>751</v>
      </c>
      <c r="G637" s="132">
        <f t="shared" si="44"/>
        <v>720.6</v>
      </c>
      <c r="H637" s="132">
        <f t="shared" si="44"/>
        <v>2798.1</v>
      </c>
      <c r="K637" s="132">
        <f>K638</f>
        <v>2728.5</v>
      </c>
      <c r="L637" s="604">
        <f t="shared" si="42"/>
        <v>378.6427976686095</v>
      </c>
      <c r="M637" s="605">
        <f t="shared" si="43"/>
        <v>97.51259783424467</v>
      </c>
    </row>
    <row r="638" spans="1:13" ht="15.75" customHeight="1">
      <c r="A638" s="134" t="s">
        <v>1435</v>
      </c>
      <c r="B638" s="184" t="s">
        <v>781</v>
      </c>
      <c r="C638" s="124" t="s">
        <v>1064</v>
      </c>
      <c r="D638" s="124" t="s">
        <v>1629</v>
      </c>
      <c r="E638" s="124" t="s">
        <v>494</v>
      </c>
      <c r="F638" s="124" t="s">
        <v>1436</v>
      </c>
      <c r="G638" s="135">
        <f>720.6</f>
        <v>720.6</v>
      </c>
      <c r="H638" s="135">
        <v>2798.1</v>
      </c>
      <c r="K638" s="135">
        <v>2728.5</v>
      </c>
      <c r="L638" s="604">
        <f t="shared" si="42"/>
        <v>378.6427976686095</v>
      </c>
      <c r="M638" s="605">
        <f t="shared" si="43"/>
        <v>97.51259783424467</v>
      </c>
    </row>
    <row r="639" spans="1:13" ht="24">
      <c r="A639" s="141" t="s">
        <v>552</v>
      </c>
      <c r="B639" s="184" t="s">
        <v>781</v>
      </c>
      <c r="C639" s="124" t="s">
        <v>1064</v>
      </c>
      <c r="D639" s="124" t="s">
        <v>1629</v>
      </c>
      <c r="E639" s="124" t="s">
        <v>546</v>
      </c>
      <c r="F639" s="124"/>
      <c r="G639" s="132">
        <f>G640</f>
        <v>1000</v>
      </c>
      <c r="H639" s="132">
        <f>H640</f>
        <v>2600</v>
      </c>
      <c r="K639" s="132">
        <f>K640</f>
        <v>2222.5</v>
      </c>
      <c r="L639" s="604">
        <f t="shared" si="42"/>
        <v>222.25</v>
      </c>
      <c r="M639" s="605">
        <f t="shared" si="43"/>
        <v>85.48076923076923</v>
      </c>
    </row>
    <row r="640" spans="1:13" ht="24">
      <c r="A640" s="129" t="s">
        <v>495</v>
      </c>
      <c r="B640" s="184" t="s">
        <v>781</v>
      </c>
      <c r="C640" s="124" t="s">
        <v>1064</v>
      </c>
      <c r="D640" s="124" t="s">
        <v>1629</v>
      </c>
      <c r="E640" s="124" t="s">
        <v>496</v>
      </c>
      <c r="F640" s="124"/>
      <c r="G640" s="132">
        <f>G641+G644+G649+G646</f>
        <v>1000</v>
      </c>
      <c r="H640" s="132">
        <f>H641+H644+H649+H646</f>
        <v>2600</v>
      </c>
      <c r="K640" s="132">
        <f>K641+K644+K649+K646</f>
        <v>2222.5</v>
      </c>
      <c r="L640" s="604">
        <f t="shared" si="42"/>
        <v>222.25</v>
      </c>
      <c r="M640" s="605">
        <f t="shared" si="43"/>
        <v>85.48076923076923</v>
      </c>
    </row>
    <row r="641" spans="1:13" ht="24">
      <c r="A641" s="130" t="s">
        <v>910</v>
      </c>
      <c r="B641" s="184" t="s">
        <v>781</v>
      </c>
      <c r="C641" s="124" t="s">
        <v>1064</v>
      </c>
      <c r="D641" s="124" t="s">
        <v>1629</v>
      </c>
      <c r="E641" s="124" t="s">
        <v>128</v>
      </c>
      <c r="F641" s="124" t="s">
        <v>911</v>
      </c>
      <c r="G641" s="132">
        <f>G642+G643</f>
        <v>500</v>
      </c>
      <c r="H641" s="132">
        <f>H642+H643</f>
        <v>600</v>
      </c>
      <c r="K641" s="132">
        <f>K642+K643</f>
        <v>578.2</v>
      </c>
      <c r="L641" s="604">
        <f t="shared" si="42"/>
        <v>115.64000000000001</v>
      </c>
      <c r="M641" s="605">
        <f t="shared" si="43"/>
        <v>96.36666666666667</v>
      </c>
    </row>
    <row r="642" spans="1:13" ht="48">
      <c r="A642" s="134" t="s">
        <v>1349</v>
      </c>
      <c r="B642" s="184" t="s">
        <v>781</v>
      </c>
      <c r="C642" s="124" t="s">
        <v>1064</v>
      </c>
      <c r="D642" s="124" t="s">
        <v>1629</v>
      </c>
      <c r="E642" s="124" t="s">
        <v>128</v>
      </c>
      <c r="F642" s="124" t="s">
        <v>1267</v>
      </c>
      <c r="G642" s="135">
        <f>500</f>
        <v>500</v>
      </c>
      <c r="H642" s="135">
        <f>500</f>
        <v>500</v>
      </c>
      <c r="K642" s="135">
        <f>500</f>
        <v>500</v>
      </c>
      <c r="L642" s="604">
        <f t="shared" si="42"/>
        <v>100</v>
      </c>
      <c r="M642" s="605">
        <f t="shared" si="43"/>
        <v>100</v>
      </c>
    </row>
    <row r="643" spans="1:13" ht="48">
      <c r="A643" s="134" t="s">
        <v>1530</v>
      </c>
      <c r="B643" s="184" t="s">
        <v>781</v>
      </c>
      <c r="C643" s="124" t="s">
        <v>1064</v>
      </c>
      <c r="D643" s="124" t="s">
        <v>1629</v>
      </c>
      <c r="E643" s="124" t="s">
        <v>128</v>
      </c>
      <c r="F643" s="124" t="s">
        <v>913</v>
      </c>
      <c r="G643" s="135">
        <v>0</v>
      </c>
      <c r="H643" s="135">
        <v>100</v>
      </c>
      <c r="K643" s="135">
        <v>78.2</v>
      </c>
      <c r="L643" s="604">
        <v>0</v>
      </c>
      <c r="M643" s="605">
        <f t="shared" si="43"/>
        <v>78.2</v>
      </c>
    </row>
    <row r="644" spans="1:13" ht="18.75" customHeight="1">
      <c r="A644" s="130" t="s">
        <v>910</v>
      </c>
      <c r="B644" s="184" t="s">
        <v>781</v>
      </c>
      <c r="C644" s="124" t="s">
        <v>1064</v>
      </c>
      <c r="D644" s="124" t="s">
        <v>1629</v>
      </c>
      <c r="E644" s="124" t="s">
        <v>129</v>
      </c>
      <c r="F644" s="124" t="s">
        <v>911</v>
      </c>
      <c r="G644" s="132">
        <f>G645</f>
        <v>500</v>
      </c>
      <c r="H644" s="132">
        <f>H645</f>
        <v>500</v>
      </c>
      <c r="K644" s="132">
        <f>K645</f>
        <v>144.3</v>
      </c>
      <c r="L644" s="604">
        <f t="shared" si="42"/>
        <v>28.860000000000003</v>
      </c>
      <c r="M644" s="605">
        <f t="shared" si="43"/>
        <v>28.860000000000003</v>
      </c>
    </row>
    <row r="645" spans="1:13" ht="43.5" customHeight="1">
      <c r="A645" s="134" t="s">
        <v>1287</v>
      </c>
      <c r="B645" s="184" t="s">
        <v>781</v>
      </c>
      <c r="C645" s="124" t="s">
        <v>1064</v>
      </c>
      <c r="D645" s="124" t="s">
        <v>1629</v>
      </c>
      <c r="E645" s="124" t="s">
        <v>129</v>
      </c>
      <c r="F645" s="124" t="s">
        <v>1267</v>
      </c>
      <c r="G645" s="135">
        <v>500</v>
      </c>
      <c r="H645" s="135">
        <v>500</v>
      </c>
      <c r="K645" s="135">
        <v>144.3</v>
      </c>
      <c r="L645" s="604">
        <f t="shared" si="42"/>
        <v>28.860000000000003</v>
      </c>
      <c r="M645" s="605">
        <f t="shared" si="43"/>
        <v>28.860000000000003</v>
      </c>
    </row>
    <row r="646" spans="1:13" ht="72">
      <c r="A646" s="134" t="s">
        <v>1463</v>
      </c>
      <c r="B646" s="184" t="s">
        <v>781</v>
      </c>
      <c r="C646" s="124" t="s">
        <v>1064</v>
      </c>
      <c r="D646" s="124" t="s">
        <v>1629</v>
      </c>
      <c r="E646" s="124" t="s">
        <v>1464</v>
      </c>
      <c r="F646" s="124"/>
      <c r="G646" s="132">
        <f>G647</f>
        <v>0</v>
      </c>
      <c r="H646" s="132">
        <f>H647</f>
        <v>1200</v>
      </c>
      <c r="K646" s="132">
        <f>K647</f>
        <v>1200</v>
      </c>
      <c r="L646" s="604">
        <v>0</v>
      </c>
      <c r="M646" s="605">
        <f t="shared" si="43"/>
        <v>100</v>
      </c>
    </row>
    <row r="647" spans="1:13" ht="24">
      <c r="A647" s="130" t="s">
        <v>910</v>
      </c>
      <c r="B647" s="184" t="s">
        <v>781</v>
      </c>
      <c r="C647" s="124" t="s">
        <v>1064</v>
      </c>
      <c r="D647" s="124" t="s">
        <v>1629</v>
      </c>
      <c r="E647" s="124" t="s">
        <v>1464</v>
      </c>
      <c r="F647" s="124" t="s">
        <v>911</v>
      </c>
      <c r="G647" s="132">
        <f>G648</f>
        <v>0</v>
      </c>
      <c r="H647" s="132">
        <f>H648</f>
        <v>1200</v>
      </c>
      <c r="K647" s="132">
        <f>K648</f>
        <v>1200</v>
      </c>
      <c r="L647" s="604">
        <v>0</v>
      </c>
      <c r="M647" s="605">
        <f t="shared" si="43"/>
        <v>100</v>
      </c>
    </row>
    <row r="648" spans="1:13" ht="48">
      <c r="A648" s="134" t="s">
        <v>1287</v>
      </c>
      <c r="B648" s="184" t="s">
        <v>781</v>
      </c>
      <c r="C648" s="124" t="s">
        <v>1064</v>
      </c>
      <c r="D648" s="124" t="s">
        <v>1629</v>
      </c>
      <c r="E648" s="124" t="s">
        <v>1464</v>
      </c>
      <c r="F648" s="124" t="s">
        <v>1267</v>
      </c>
      <c r="G648" s="135">
        <v>0</v>
      </c>
      <c r="H648" s="135">
        <v>1200</v>
      </c>
      <c r="K648" s="135">
        <v>1200</v>
      </c>
      <c r="L648" s="604">
        <v>0</v>
      </c>
      <c r="M648" s="605">
        <f t="shared" si="43"/>
        <v>100</v>
      </c>
    </row>
    <row r="649" spans="1:13" ht="72.75" customHeight="1">
      <c r="A649" s="134" t="s">
        <v>662</v>
      </c>
      <c r="B649" s="184" t="s">
        <v>781</v>
      </c>
      <c r="C649" s="124" t="s">
        <v>1064</v>
      </c>
      <c r="D649" s="124" t="s">
        <v>1629</v>
      </c>
      <c r="E649" s="124" t="s">
        <v>663</v>
      </c>
      <c r="F649" s="124"/>
      <c r="G649" s="132">
        <f>G650</f>
        <v>0</v>
      </c>
      <c r="H649" s="132">
        <f>H650</f>
        <v>300</v>
      </c>
      <c r="K649" s="132">
        <f>K650</f>
        <v>300</v>
      </c>
      <c r="L649" s="604">
        <v>0</v>
      </c>
      <c r="M649" s="605">
        <f t="shared" si="43"/>
        <v>100</v>
      </c>
    </row>
    <row r="650" spans="1:13" ht="21" customHeight="1">
      <c r="A650" s="130" t="s">
        <v>910</v>
      </c>
      <c r="B650" s="184" t="s">
        <v>781</v>
      </c>
      <c r="C650" s="124" t="s">
        <v>1064</v>
      </c>
      <c r="D650" s="124" t="s">
        <v>1629</v>
      </c>
      <c r="E650" s="124" t="s">
        <v>663</v>
      </c>
      <c r="F650" s="124" t="s">
        <v>911</v>
      </c>
      <c r="G650" s="132">
        <f>G651</f>
        <v>0</v>
      </c>
      <c r="H650" s="132">
        <f>H651</f>
        <v>300</v>
      </c>
      <c r="K650" s="132">
        <f>K651</f>
        <v>300</v>
      </c>
      <c r="L650" s="604">
        <v>0</v>
      </c>
      <c r="M650" s="605">
        <f t="shared" si="43"/>
        <v>100</v>
      </c>
    </row>
    <row r="651" spans="1:13" ht="43.5" customHeight="1">
      <c r="A651" s="134" t="s">
        <v>1287</v>
      </c>
      <c r="B651" s="184" t="s">
        <v>781</v>
      </c>
      <c r="C651" s="124" t="s">
        <v>1064</v>
      </c>
      <c r="D651" s="124" t="s">
        <v>1629</v>
      </c>
      <c r="E651" s="124" t="s">
        <v>663</v>
      </c>
      <c r="F651" s="124" t="s">
        <v>1267</v>
      </c>
      <c r="G651" s="135">
        <v>0</v>
      </c>
      <c r="H651" s="135">
        <v>300</v>
      </c>
      <c r="K651" s="135">
        <v>300</v>
      </c>
      <c r="L651" s="604">
        <v>0</v>
      </c>
      <c r="M651" s="605">
        <f t="shared" si="43"/>
        <v>100</v>
      </c>
    </row>
    <row r="652" spans="1:13" ht="15.75">
      <c r="A652" s="185" t="s">
        <v>1628</v>
      </c>
      <c r="B652" s="184" t="s">
        <v>781</v>
      </c>
      <c r="C652" s="124" t="s">
        <v>1623</v>
      </c>
      <c r="D652" s="124"/>
      <c r="E652" s="124"/>
      <c r="F652" s="148"/>
      <c r="G652" s="125">
        <f>G653+G672+G696</f>
        <v>553548</v>
      </c>
      <c r="H652" s="125">
        <f>H653+H672+H696</f>
        <v>674766.6000000001</v>
      </c>
      <c r="K652" s="125">
        <f>K653+K672+K696</f>
        <v>618307.0900000001</v>
      </c>
      <c r="L652" s="604">
        <f aca="true" t="shared" si="45" ref="L652:L714">K652/G652*100</f>
        <v>111.69891138618513</v>
      </c>
      <c r="M652" s="605">
        <f t="shared" si="43"/>
        <v>91.63273493382749</v>
      </c>
    </row>
    <row r="653" spans="1:13" ht="15">
      <c r="A653" s="133" t="s">
        <v>1640</v>
      </c>
      <c r="B653" s="184" t="s">
        <v>781</v>
      </c>
      <c r="C653" s="148" t="s">
        <v>1623</v>
      </c>
      <c r="D653" s="148" t="s">
        <v>1594</v>
      </c>
      <c r="E653" s="148"/>
      <c r="F653" s="148"/>
      <c r="G653" s="132">
        <f>G654+G669</f>
        <v>48811.3</v>
      </c>
      <c r="H653" s="132">
        <f>H654+H669</f>
        <v>82052</v>
      </c>
      <c r="K653" s="132">
        <f>K654+K669</f>
        <v>71585.3</v>
      </c>
      <c r="L653" s="604">
        <f t="shared" si="45"/>
        <v>146.65722896132658</v>
      </c>
      <c r="M653" s="605">
        <f aca="true" t="shared" si="46" ref="M653:M716">K653/H653*100</f>
        <v>87.24382099156632</v>
      </c>
    </row>
    <row r="654" spans="1:13" ht="24">
      <c r="A654" s="149" t="s">
        <v>492</v>
      </c>
      <c r="B654" s="184" t="s">
        <v>781</v>
      </c>
      <c r="C654" s="148" t="s">
        <v>1623</v>
      </c>
      <c r="D654" s="148" t="s">
        <v>1594</v>
      </c>
      <c r="E654" s="148" t="s">
        <v>1727</v>
      </c>
      <c r="F654" s="148"/>
      <c r="G654" s="132">
        <f>G655</f>
        <v>40282.3</v>
      </c>
      <c r="H654" s="132">
        <f>H655</f>
        <v>55071.1</v>
      </c>
      <c r="K654" s="132">
        <f>K655</f>
        <v>46090.5</v>
      </c>
      <c r="L654" s="604">
        <f t="shared" si="45"/>
        <v>114.41873974425492</v>
      </c>
      <c r="M654" s="605">
        <f t="shared" si="46"/>
        <v>83.69271723281358</v>
      </c>
    </row>
    <row r="655" spans="1:13" ht="60">
      <c r="A655" s="129" t="s">
        <v>1669</v>
      </c>
      <c r="B655" s="184" t="s">
        <v>781</v>
      </c>
      <c r="C655" s="148" t="s">
        <v>1623</v>
      </c>
      <c r="D655" s="148" t="s">
        <v>1594</v>
      </c>
      <c r="E655" s="148" t="s">
        <v>805</v>
      </c>
      <c r="F655" s="148"/>
      <c r="G655" s="132">
        <f>G656+G658+G662+G660+G665</f>
        <v>40282.3</v>
      </c>
      <c r="H655" s="132">
        <f>H656+H658+H662+H660+H665</f>
        <v>55071.1</v>
      </c>
      <c r="K655" s="132">
        <f>K656+K658+K662+K660+K665</f>
        <v>46090.5</v>
      </c>
      <c r="L655" s="604">
        <f t="shared" si="45"/>
        <v>114.41873974425492</v>
      </c>
      <c r="M655" s="605">
        <f t="shared" si="46"/>
        <v>83.69271723281358</v>
      </c>
    </row>
    <row r="656" spans="1:13" ht="24">
      <c r="A656" s="130" t="s">
        <v>1312</v>
      </c>
      <c r="B656" s="184" t="s">
        <v>781</v>
      </c>
      <c r="C656" s="148" t="s">
        <v>1623</v>
      </c>
      <c r="D656" s="148" t="s">
        <v>1594</v>
      </c>
      <c r="E656" s="148" t="s">
        <v>130</v>
      </c>
      <c r="F656" s="148" t="s">
        <v>1704</v>
      </c>
      <c r="G656" s="132">
        <f>G657</f>
        <v>0</v>
      </c>
      <c r="H656" s="132">
        <f>H657</f>
        <v>14596.1</v>
      </c>
      <c r="K656" s="132">
        <f>K657</f>
        <v>9960.6</v>
      </c>
      <c r="L656" s="604">
        <v>0</v>
      </c>
      <c r="M656" s="605">
        <f t="shared" si="46"/>
        <v>68.24151656949459</v>
      </c>
    </row>
    <row r="657" spans="1:13" ht="15">
      <c r="A657" s="130" t="s">
        <v>621</v>
      </c>
      <c r="B657" s="184" t="s">
        <v>781</v>
      </c>
      <c r="C657" s="148" t="s">
        <v>1623</v>
      </c>
      <c r="D657" s="148" t="s">
        <v>1594</v>
      </c>
      <c r="E657" s="148" t="s">
        <v>130</v>
      </c>
      <c r="F657" s="148" t="s">
        <v>1619</v>
      </c>
      <c r="G657" s="135">
        <v>0</v>
      </c>
      <c r="H657" s="135">
        <f>2167.9+12428.2</f>
        <v>14596.1</v>
      </c>
      <c r="K657" s="135">
        <v>9960.6</v>
      </c>
      <c r="L657" s="604">
        <v>0</v>
      </c>
      <c r="M657" s="605">
        <f t="shared" si="46"/>
        <v>68.24151656949459</v>
      </c>
    </row>
    <row r="658" spans="1:13" ht="15">
      <c r="A658" s="130" t="s">
        <v>910</v>
      </c>
      <c r="B658" s="184" t="s">
        <v>781</v>
      </c>
      <c r="C658" s="148" t="s">
        <v>1623</v>
      </c>
      <c r="D658" s="148" t="s">
        <v>1594</v>
      </c>
      <c r="E658" s="148" t="s">
        <v>130</v>
      </c>
      <c r="F658" s="148" t="s">
        <v>911</v>
      </c>
      <c r="G658" s="132">
        <f>G659</f>
        <v>10000</v>
      </c>
      <c r="H658" s="132">
        <f>H659</f>
        <v>11475</v>
      </c>
      <c r="K658" s="132">
        <f>K659</f>
        <v>7441.1</v>
      </c>
      <c r="L658" s="604">
        <f t="shared" si="45"/>
        <v>74.411</v>
      </c>
      <c r="M658" s="605">
        <f t="shared" si="46"/>
        <v>64.84618736383443</v>
      </c>
    </row>
    <row r="659" spans="1:13" ht="24">
      <c r="A659" s="129" t="s">
        <v>1266</v>
      </c>
      <c r="B659" s="184" t="s">
        <v>781</v>
      </c>
      <c r="C659" s="148" t="s">
        <v>1623</v>
      </c>
      <c r="D659" s="148" t="s">
        <v>1594</v>
      </c>
      <c r="E659" s="148" t="s">
        <v>130</v>
      </c>
      <c r="F659" s="148" t="s">
        <v>1267</v>
      </c>
      <c r="G659" s="135">
        <f>10000</f>
        <v>10000</v>
      </c>
      <c r="H659" s="135">
        <f>10000+1475</f>
        <v>11475</v>
      </c>
      <c r="K659" s="135">
        <v>7441.1</v>
      </c>
      <c r="L659" s="604">
        <f t="shared" si="45"/>
        <v>74.411</v>
      </c>
      <c r="M659" s="605">
        <f t="shared" si="46"/>
        <v>64.84618736383443</v>
      </c>
    </row>
    <row r="660" spans="1:13" ht="15">
      <c r="A660" s="130" t="s">
        <v>910</v>
      </c>
      <c r="B660" s="184" t="s">
        <v>781</v>
      </c>
      <c r="C660" s="148" t="s">
        <v>1623</v>
      </c>
      <c r="D660" s="148" t="s">
        <v>1594</v>
      </c>
      <c r="E660" s="148" t="s">
        <v>131</v>
      </c>
      <c r="F660" s="148" t="s">
        <v>911</v>
      </c>
      <c r="G660" s="132">
        <f>G661</f>
        <v>30282.3</v>
      </c>
      <c r="H660" s="132">
        <f>H661</f>
        <v>29000</v>
      </c>
      <c r="K660" s="132">
        <f>K661</f>
        <v>28688.8</v>
      </c>
      <c r="L660" s="604">
        <f t="shared" si="45"/>
        <v>94.73785016329671</v>
      </c>
      <c r="M660" s="605">
        <f t="shared" si="46"/>
        <v>98.92689655172413</v>
      </c>
    </row>
    <row r="661" spans="1:13" ht="24">
      <c r="A661" s="129" t="s">
        <v>1266</v>
      </c>
      <c r="B661" s="184" t="s">
        <v>781</v>
      </c>
      <c r="C661" s="148" t="s">
        <v>1623</v>
      </c>
      <c r="D661" s="148" t="s">
        <v>1594</v>
      </c>
      <c r="E661" s="148" t="s">
        <v>131</v>
      </c>
      <c r="F661" s="148" t="s">
        <v>1267</v>
      </c>
      <c r="G661" s="135">
        <f>30282.3</f>
        <v>30282.3</v>
      </c>
      <c r="H661" s="135">
        <f>30282.3-1282.3</f>
        <v>29000</v>
      </c>
      <c r="K661" s="135">
        <v>28688.8</v>
      </c>
      <c r="L661" s="604">
        <f t="shared" si="45"/>
        <v>94.73785016329671</v>
      </c>
      <c r="M661" s="605">
        <f t="shared" si="46"/>
        <v>98.92689655172413</v>
      </c>
    </row>
    <row r="662" spans="1:13" ht="29.25" customHeight="1" hidden="1">
      <c r="A662" s="129" t="s">
        <v>1711</v>
      </c>
      <c r="B662" s="184" t="s">
        <v>781</v>
      </c>
      <c r="C662" s="148" t="s">
        <v>1623</v>
      </c>
      <c r="D662" s="148" t="s">
        <v>1594</v>
      </c>
      <c r="E662" s="148" t="s">
        <v>968</v>
      </c>
      <c r="F662" s="148"/>
      <c r="G662" s="132">
        <f>G663</f>
        <v>0</v>
      </c>
      <c r="H662" s="132">
        <f>H663</f>
        <v>0</v>
      </c>
      <c r="K662" s="132">
        <f>K663</f>
        <v>0</v>
      </c>
      <c r="L662" s="604" t="e">
        <f t="shared" si="45"/>
        <v>#DIV/0!</v>
      </c>
      <c r="M662" s="605" t="e">
        <f t="shared" si="46"/>
        <v>#DIV/0!</v>
      </c>
    </row>
    <row r="663" spans="1:13" ht="24" hidden="1">
      <c r="A663" s="130" t="s">
        <v>1312</v>
      </c>
      <c r="B663" s="184" t="s">
        <v>781</v>
      </c>
      <c r="C663" s="148" t="s">
        <v>1623</v>
      </c>
      <c r="D663" s="148" t="s">
        <v>1594</v>
      </c>
      <c r="E663" s="148" t="s">
        <v>968</v>
      </c>
      <c r="F663" s="148" t="s">
        <v>1704</v>
      </c>
      <c r="G663" s="132">
        <f>G664</f>
        <v>0</v>
      </c>
      <c r="H663" s="132">
        <f>H664</f>
        <v>0</v>
      </c>
      <c r="K663" s="132">
        <f>K664</f>
        <v>0</v>
      </c>
      <c r="L663" s="604" t="e">
        <f t="shared" si="45"/>
        <v>#DIV/0!</v>
      </c>
      <c r="M663" s="605" t="e">
        <f t="shared" si="46"/>
        <v>#DIV/0!</v>
      </c>
    </row>
    <row r="664" spans="1:13" ht="15" hidden="1">
      <c r="A664" s="130" t="s">
        <v>1406</v>
      </c>
      <c r="B664" s="184" t="s">
        <v>781</v>
      </c>
      <c r="C664" s="148" t="s">
        <v>1623</v>
      </c>
      <c r="D664" s="148" t="s">
        <v>1594</v>
      </c>
      <c r="E664" s="148" t="s">
        <v>968</v>
      </c>
      <c r="F664" s="148" t="s">
        <v>1619</v>
      </c>
      <c r="G664" s="135">
        <f>56567-56567</f>
        <v>0</v>
      </c>
      <c r="H664" s="135">
        <f>56567-56567</f>
        <v>0</v>
      </c>
      <c r="K664" s="135">
        <f>56567-56567</f>
        <v>0</v>
      </c>
      <c r="L664" s="604" t="e">
        <f t="shared" si="45"/>
        <v>#DIV/0!</v>
      </c>
      <c r="M664" s="605" t="e">
        <f t="shared" si="46"/>
        <v>#DIV/0!</v>
      </c>
    </row>
    <row r="665" spans="1:13" ht="60">
      <c r="A665" s="130" t="s">
        <v>786</v>
      </c>
      <c r="B665" s="184" t="s">
        <v>781</v>
      </c>
      <c r="C665" s="124" t="s">
        <v>1623</v>
      </c>
      <c r="D665" s="124" t="s">
        <v>1594</v>
      </c>
      <c r="E665" s="148" t="s">
        <v>787</v>
      </c>
      <c r="F665" s="148"/>
      <c r="G665" s="132">
        <f>G666</f>
        <v>0</v>
      </c>
      <c r="H665" s="132">
        <f>H666</f>
        <v>0</v>
      </c>
      <c r="K665" s="132">
        <f>K666</f>
        <v>0</v>
      </c>
      <c r="L665" s="604">
        <v>0</v>
      </c>
      <c r="M665" s="604">
        <v>0</v>
      </c>
    </row>
    <row r="666" spans="1:13" ht="15">
      <c r="A666" s="130" t="s">
        <v>910</v>
      </c>
      <c r="B666" s="184" t="s">
        <v>781</v>
      </c>
      <c r="C666" s="124" t="s">
        <v>1623</v>
      </c>
      <c r="D666" s="124" t="s">
        <v>1594</v>
      </c>
      <c r="E666" s="148" t="s">
        <v>787</v>
      </c>
      <c r="F666" s="148" t="s">
        <v>911</v>
      </c>
      <c r="G666" s="132">
        <f>G667</f>
        <v>0</v>
      </c>
      <c r="H666" s="132">
        <f>H667</f>
        <v>0</v>
      </c>
      <c r="K666" s="132">
        <f>K667</f>
        <v>0</v>
      </c>
      <c r="L666" s="604">
        <v>0</v>
      </c>
      <c r="M666" s="604">
        <v>0</v>
      </c>
    </row>
    <row r="667" spans="1:13" ht="24">
      <c r="A667" s="129" t="s">
        <v>1266</v>
      </c>
      <c r="B667" s="184" t="s">
        <v>781</v>
      </c>
      <c r="C667" s="124" t="s">
        <v>1623</v>
      </c>
      <c r="D667" s="124" t="s">
        <v>1594</v>
      </c>
      <c r="E667" s="148" t="s">
        <v>787</v>
      </c>
      <c r="F667" s="148" t="s">
        <v>1267</v>
      </c>
      <c r="G667" s="135">
        <f>5830.5-5830.5</f>
        <v>0</v>
      </c>
      <c r="H667" s="135">
        <f>5830.5-5830.5</f>
        <v>0</v>
      </c>
      <c r="K667" s="135">
        <f>5830.5-5830.5</f>
        <v>0</v>
      </c>
      <c r="L667" s="604">
        <v>0</v>
      </c>
      <c r="M667" s="604">
        <v>0</v>
      </c>
    </row>
    <row r="668" spans="1:13" ht="20.25" customHeight="1">
      <c r="A668" s="137" t="s">
        <v>1454</v>
      </c>
      <c r="B668" s="184" t="s">
        <v>781</v>
      </c>
      <c r="C668" s="148" t="s">
        <v>1623</v>
      </c>
      <c r="D668" s="148" t="s">
        <v>1594</v>
      </c>
      <c r="E668" s="148" t="s">
        <v>123</v>
      </c>
      <c r="F668" s="148"/>
      <c r="G668" s="132">
        <f aca="true" t="shared" si="47" ref="G668:H670">G669</f>
        <v>8529</v>
      </c>
      <c r="H668" s="132">
        <f t="shared" si="47"/>
        <v>26980.9</v>
      </c>
      <c r="K668" s="132">
        <f>K669</f>
        <v>25494.8</v>
      </c>
      <c r="L668" s="604">
        <f t="shared" si="45"/>
        <v>298.91898229569705</v>
      </c>
      <c r="M668" s="605">
        <f t="shared" si="46"/>
        <v>94.49202954682757</v>
      </c>
    </row>
    <row r="669" spans="1:13" ht="72">
      <c r="A669" s="134" t="s">
        <v>490</v>
      </c>
      <c r="B669" s="184" t="s">
        <v>781</v>
      </c>
      <c r="C669" s="124" t="s">
        <v>1623</v>
      </c>
      <c r="D669" s="124" t="s">
        <v>1594</v>
      </c>
      <c r="E669" s="124" t="s">
        <v>1248</v>
      </c>
      <c r="F669" s="148"/>
      <c r="G669" s="132">
        <f t="shared" si="47"/>
        <v>8529</v>
      </c>
      <c r="H669" s="132">
        <f t="shared" si="47"/>
        <v>26980.9</v>
      </c>
      <c r="K669" s="132">
        <f>K670</f>
        <v>25494.8</v>
      </c>
      <c r="L669" s="604">
        <f t="shared" si="45"/>
        <v>298.91898229569705</v>
      </c>
      <c r="M669" s="605">
        <f t="shared" si="46"/>
        <v>94.49202954682757</v>
      </c>
    </row>
    <row r="670" spans="1:13" ht="24">
      <c r="A670" s="130" t="s">
        <v>1312</v>
      </c>
      <c r="B670" s="184" t="s">
        <v>781</v>
      </c>
      <c r="C670" s="124" t="s">
        <v>1623</v>
      </c>
      <c r="D670" s="124" t="s">
        <v>1594</v>
      </c>
      <c r="E670" s="124" t="s">
        <v>132</v>
      </c>
      <c r="F670" s="148" t="s">
        <v>1704</v>
      </c>
      <c r="G670" s="132">
        <f t="shared" si="47"/>
        <v>8529</v>
      </c>
      <c r="H670" s="132">
        <f t="shared" si="47"/>
        <v>26980.9</v>
      </c>
      <c r="K670" s="132">
        <f>K671</f>
        <v>25494.8</v>
      </c>
      <c r="L670" s="604">
        <f t="shared" si="45"/>
        <v>298.91898229569705</v>
      </c>
      <c r="M670" s="605">
        <f t="shared" si="46"/>
        <v>94.49202954682757</v>
      </c>
    </row>
    <row r="671" spans="1:13" ht="15">
      <c r="A671" s="130" t="s">
        <v>1406</v>
      </c>
      <c r="B671" s="184" t="s">
        <v>781</v>
      </c>
      <c r="C671" s="124" t="s">
        <v>1623</v>
      </c>
      <c r="D671" s="124" t="s">
        <v>1594</v>
      </c>
      <c r="E671" s="124" t="s">
        <v>132</v>
      </c>
      <c r="F671" s="148" t="s">
        <v>1619</v>
      </c>
      <c r="G671" s="135">
        <f>8529</f>
        <v>8529</v>
      </c>
      <c r="H671" s="135">
        <f>8529+200+420+380+393.3+90+16268.6+700</f>
        <v>26980.9</v>
      </c>
      <c r="K671" s="135">
        <v>25494.8</v>
      </c>
      <c r="L671" s="604">
        <f t="shared" si="45"/>
        <v>298.91898229569705</v>
      </c>
      <c r="M671" s="605">
        <f t="shared" si="46"/>
        <v>94.49202954682757</v>
      </c>
    </row>
    <row r="672" spans="1:13" ht="15">
      <c r="A672" s="3" t="s">
        <v>1211</v>
      </c>
      <c r="B672" s="184" t="s">
        <v>781</v>
      </c>
      <c r="C672" s="124" t="s">
        <v>1623</v>
      </c>
      <c r="D672" s="124" t="s">
        <v>852</v>
      </c>
      <c r="E672" s="124"/>
      <c r="F672" s="124"/>
      <c r="G672" s="132">
        <f>G673</f>
        <v>260902.6</v>
      </c>
      <c r="H672" s="132">
        <f>H673</f>
        <v>332369.30000000005</v>
      </c>
      <c r="K672" s="132">
        <f>K673</f>
        <v>302802.4</v>
      </c>
      <c r="L672" s="604">
        <f t="shared" si="45"/>
        <v>116.05955632485075</v>
      </c>
      <c r="M672" s="605">
        <f t="shared" si="46"/>
        <v>91.10420246394597</v>
      </c>
    </row>
    <row r="673" spans="1:13" ht="24">
      <c r="A673" s="149" t="s">
        <v>492</v>
      </c>
      <c r="B673" s="184" t="s">
        <v>781</v>
      </c>
      <c r="C673" s="124" t="s">
        <v>1623</v>
      </c>
      <c r="D673" s="124" t="s">
        <v>852</v>
      </c>
      <c r="E673" s="124" t="s">
        <v>1727</v>
      </c>
      <c r="F673" s="124"/>
      <c r="G673" s="132">
        <f>G674</f>
        <v>260902.6</v>
      </c>
      <c r="H673" s="132">
        <f>H674</f>
        <v>332369.30000000005</v>
      </c>
      <c r="K673" s="132">
        <f>K674</f>
        <v>302802.4</v>
      </c>
      <c r="L673" s="604">
        <f t="shared" si="45"/>
        <v>116.05955632485075</v>
      </c>
      <c r="M673" s="605">
        <f t="shared" si="46"/>
        <v>91.10420246394597</v>
      </c>
    </row>
    <row r="674" spans="1:13" ht="24">
      <c r="A674" s="134" t="s">
        <v>416</v>
      </c>
      <c r="B674" s="184" t="s">
        <v>781</v>
      </c>
      <c r="C674" s="124" t="s">
        <v>1623</v>
      </c>
      <c r="D674" s="124" t="s">
        <v>852</v>
      </c>
      <c r="E674" s="124" t="s">
        <v>1728</v>
      </c>
      <c r="F674" s="124"/>
      <c r="G674" s="132">
        <f>G675+G678+G692+G693</f>
        <v>260902.6</v>
      </c>
      <c r="H674" s="132">
        <f>H675+H678+H692+H693</f>
        <v>332369.30000000005</v>
      </c>
      <c r="K674" s="132">
        <f>K675+K678+K692+K693</f>
        <v>302802.4</v>
      </c>
      <c r="L674" s="604">
        <f t="shared" si="45"/>
        <v>116.05955632485075</v>
      </c>
      <c r="M674" s="605">
        <f t="shared" si="46"/>
        <v>91.10420246394597</v>
      </c>
    </row>
    <row r="675" spans="1:13" ht="24">
      <c r="A675" s="130" t="s">
        <v>910</v>
      </c>
      <c r="B675" s="184" t="s">
        <v>781</v>
      </c>
      <c r="C675" s="124" t="s">
        <v>1623</v>
      </c>
      <c r="D675" s="124" t="s">
        <v>852</v>
      </c>
      <c r="E675" s="148" t="s">
        <v>417</v>
      </c>
      <c r="F675" s="124" t="s">
        <v>911</v>
      </c>
      <c r="G675" s="132">
        <f>G676+G677</f>
        <v>37376</v>
      </c>
      <c r="H675" s="132">
        <f>H676+H677</f>
        <v>41376</v>
      </c>
      <c r="K675" s="132">
        <f>K676+K677</f>
        <v>41376</v>
      </c>
      <c r="L675" s="604">
        <f t="shared" si="45"/>
        <v>110.70205479452055</v>
      </c>
      <c r="M675" s="605">
        <f t="shared" si="46"/>
        <v>100</v>
      </c>
    </row>
    <row r="676" spans="1:13" ht="48">
      <c r="A676" s="129" t="s">
        <v>1643</v>
      </c>
      <c r="B676" s="184" t="s">
        <v>781</v>
      </c>
      <c r="C676" s="124" t="s">
        <v>1623</v>
      </c>
      <c r="D676" s="124" t="s">
        <v>852</v>
      </c>
      <c r="E676" s="148" t="s">
        <v>417</v>
      </c>
      <c r="F676" s="124" t="s">
        <v>1267</v>
      </c>
      <c r="G676" s="135">
        <v>37376</v>
      </c>
      <c r="H676" s="135">
        <v>37376</v>
      </c>
      <c r="K676" s="135">
        <v>37376</v>
      </c>
      <c r="L676" s="604">
        <f t="shared" si="45"/>
        <v>100</v>
      </c>
      <c r="M676" s="605">
        <f t="shared" si="46"/>
        <v>100</v>
      </c>
    </row>
    <row r="677" spans="1:13" ht="48">
      <c r="A677" s="129" t="s">
        <v>1644</v>
      </c>
      <c r="B677" s="184" t="s">
        <v>781</v>
      </c>
      <c r="C677" s="124" t="s">
        <v>1623</v>
      </c>
      <c r="D677" s="124" t="s">
        <v>852</v>
      </c>
      <c r="E677" s="148" t="s">
        <v>417</v>
      </c>
      <c r="F677" s="124" t="s">
        <v>1267</v>
      </c>
      <c r="G677" s="135">
        <v>0</v>
      </c>
      <c r="H677" s="135">
        <v>4000</v>
      </c>
      <c r="K677" s="135">
        <v>4000</v>
      </c>
      <c r="L677" s="604">
        <v>0</v>
      </c>
      <c r="M677" s="605">
        <f t="shared" si="46"/>
        <v>100</v>
      </c>
    </row>
    <row r="678" spans="1:13" ht="24">
      <c r="A678" s="129" t="s">
        <v>592</v>
      </c>
      <c r="B678" s="184" t="s">
        <v>781</v>
      </c>
      <c r="C678" s="124" t="s">
        <v>1623</v>
      </c>
      <c r="D678" s="124" t="s">
        <v>852</v>
      </c>
      <c r="E678" s="148" t="s">
        <v>418</v>
      </c>
      <c r="F678" s="124" t="s">
        <v>107</v>
      </c>
      <c r="G678" s="132">
        <f>G679</f>
        <v>210013.7</v>
      </c>
      <c r="H678" s="132">
        <f>H679</f>
        <v>278635.9</v>
      </c>
      <c r="K678" s="132">
        <f>K679</f>
        <v>249104.7</v>
      </c>
      <c r="L678" s="604">
        <f t="shared" si="45"/>
        <v>118.61354759237135</v>
      </c>
      <c r="M678" s="605">
        <f t="shared" si="46"/>
        <v>89.40150928146731</v>
      </c>
    </row>
    <row r="679" spans="1:13" ht="36">
      <c r="A679" s="129" t="s">
        <v>387</v>
      </c>
      <c r="B679" s="184" t="s">
        <v>781</v>
      </c>
      <c r="C679" s="124" t="s">
        <v>1623</v>
      </c>
      <c r="D679" s="124" t="s">
        <v>852</v>
      </c>
      <c r="E679" s="148" t="s">
        <v>418</v>
      </c>
      <c r="F679" s="124" t="s">
        <v>2</v>
      </c>
      <c r="G679" s="135">
        <f>G681+G682+G680+G683+G684+G685+G686+G687+G688+G689+G690</f>
        <v>210013.7</v>
      </c>
      <c r="H679" s="135">
        <f>H681+H682+H680+H683+H684+H685+H686+H687+H688+H689+H690</f>
        <v>278635.9</v>
      </c>
      <c r="K679" s="135">
        <f>K681+K682+K680+K683+K684+K685+K686+K687+K688+K689+K690</f>
        <v>249104.7</v>
      </c>
      <c r="L679" s="604">
        <f t="shared" si="45"/>
        <v>118.61354759237135</v>
      </c>
      <c r="M679" s="605">
        <f t="shared" si="46"/>
        <v>89.40150928146731</v>
      </c>
    </row>
    <row r="680" spans="1:13" ht="24">
      <c r="A680" s="129" t="s">
        <v>1288</v>
      </c>
      <c r="B680" s="184" t="s">
        <v>781</v>
      </c>
      <c r="C680" s="124" t="s">
        <v>1623</v>
      </c>
      <c r="D680" s="124" t="s">
        <v>852</v>
      </c>
      <c r="E680" s="148" t="s">
        <v>418</v>
      </c>
      <c r="F680" s="124" t="s">
        <v>2</v>
      </c>
      <c r="G680" s="135">
        <f>17400</f>
        <v>17400</v>
      </c>
      <c r="H680" s="135">
        <f>17400+18300.2</f>
        <v>35700.2</v>
      </c>
      <c r="K680" s="135">
        <v>31909.8</v>
      </c>
      <c r="L680" s="604">
        <f t="shared" si="45"/>
        <v>183.3896551724138</v>
      </c>
      <c r="M680" s="605">
        <f t="shared" si="46"/>
        <v>89.3826925339354</v>
      </c>
    </row>
    <row r="681" spans="1:13" ht="24">
      <c r="A681" s="129" t="s">
        <v>1289</v>
      </c>
      <c r="B681" s="184" t="s">
        <v>781</v>
      </c>
      <c r="C681" s="124" t="s">
        <v>1623</v>
      </c>
      <c r="D681" s="124" t="s">
        <v>852</v>
      </c>
      <c r="E681" s="148" t="s">
        <v>418</v>
      </c>
      <c r="F681" s="124" t="s">
        <v>2</v>
      </c>
      <c r="G681" s="135">
        <f>47422.2</f>
        <v>47422.2</v>
      </c>
      <c r="H681" s="135">
        <f>47422.2-15000</f>
        <v>32422.199999999997</v>
      </c>
      <c r="K681" s="135">
        <f>47422.2-15000</f>
        <v>32422.199999999997</v>
      </c>
      <c r="L681" s="604">
        <f t="shared" si="45"/>
        <v>68.36924478408847</v>
      </c>
      <c r="M681" s="605">
        <f t="shared" si="46"/>
        <v>100</v>
      </c>
    </row>
    <row r="682" spans="1:13" ht="24" hidden="1">
      <c r="A682" s="129" t="s">
        <v>789</v>
      </c>
      <c r="B682" s="184" t="s">
        <v>781</v>
      </c>
      <c r="C682" s="124" t="s">
        <v>1623</v>
      </c>
      <c r="D682" s="124" t="s">
        <v>852</v>
      </c>
      <c r="E682" s="148" t="s">
        <v>418</v>
      </c>
      <c r="F682" s="124" t="s">
        <v>2</v>
      </c>
      <c r="G682" s="135">
        <f>10350-10350</f>
        <v>0</v>
      </c>
      <c r="H682" s="135">
        <f>10350-10350</f>
        <v>0</v>
      </c>
      <c r="K682" s="135">
        <f>10350-10350</f>
        <v>0</v>
      </c>
      <c r="L682" s="604" t="e">
        <f t="shared" si="45"/>
        <v>#DIV/0!</v>
      </c>
      <c r="M682" s="605" t="e">
        <f t="shared" si="46"/>
        <v>#DIV/0!</v>
      </c>
    </row>
    <row r="683" spans="1:13" ht="24">
      <c r="A683" s="129" t="s">
        <v>790</v>
      </c>
      <c r="B683" s="184" t="s">
        <v>781</v>
      </c>
      <c r="C683" s="124" t="s">
        <v>1623</v>
      </c>
      <c r="D683" s="124" t="s">
        <v>852</v>
      </c>
      <c r="E683" s="148" t="s">
        <v>418</v>
      </c>
      <c r="F683" s="124" t="s">
        <v>2</v>
      </c>
      <c r="G683" s="135">
        <v>0</v>
      </c>
      <c r="H683" s="135">
        <v>3000</v>
      </c>
      <c r="K683" s="135">
        <v>3000</v>
      </c>
      <c r="L683" s="604">
        <v>0</v>
      </c>
      <c r="M683" s="605">
        <f t="shared" si="46"/>
        <v>100</v>
      </c>
    </row>
    <row r="684" spans="1:13" ht="24">
      <c r="A684" s="129" t="s">
        <v>791</v>
      </c>
      <c r="B684" s="184" t="s">
        <v>781</v>
      </c>
      <c r="C684" s="124" t="s">
        <v>1623</v>
      </c>
      <c r="D684" s="124" t="s">
        <v>852</v>
      </c>
      <c r="E684" s="148" t="s">
        <v>418</v>
      </c>
      <c r="F684" s="124" t="s">
        <v>2</v>
      </c>
      <c r="G684" s="135">
        <f>1037.1-1037.1</f>
        <v>0</v>
      </c>
      <c r="H684" s="135">
        <f>1037.1-1037.1</f>
        <v>0</v>
      </c>
      <c r="K684" s="135">
        <f>1037.1-1037.1</f>
        <v>0</v>
      </c>
      <c r="L684" s="604">
        <v>0</v>
      </c>
      <c r="M684" s="604">
        <v>0</v>
      </c>
    </row>
    <row r="685" spans="1:13" ht="24">
      <c r="A685" s="129" t="s">
        <v>1290</v>
      </c>
      <c r="B685" s="184" t="s">
        <v>781</v>
      </c>
      <c r="C685" s="124" t="s">
        <v>1623</v>
      </c>
      <c r="D685" s="124" t="s">
        <v>852</v>
      </c>
      <c r="E685" s="148" t="s">
        <v>418</v>
      </c>
      <c r="F685" s="124" t="s">
        <v>2</v>
      </c>
      <c r="G685" s="135">
        <v>145191.5</v>
      </c>
      <c r="H685" s="135">
        <v>145191.5</v>
      </c>
      <c r="K685" s="135">
        <v>145191.5</v>
      </c>
      <c r="L685" s="604">
        <f t="shared" si="45"/>
        <v>100</v>
      </c>
      <c r="M685" s="605">
        <f t="shared" si="46"/>
        <v>100</v>
      </c>
    </row>
    <row r="686" spans="1:13" ht="36">
      <c r="A686" s="129" t="s">
        <v>891</v>
      </c>
      <c r="B686" s="184" t="s">
        <v>781</v>
      </c>
      <c r="C686" s="124" t="s">
        <v>1623</v>
      </c>
      <c r="D686" s="124" t="s">
        <v>852</v>
      </c>
      <c r="E686" s="148" t="s">
        <v>418</v>
      </c>
      <c r="F686" s="124" t="s">
        <v>2</v>
      </c>
      <c r="G686" s="135">
        <v>0</v>
      </c>
      <c r="H686" s="135">
        <v>35000</v>
      </c>
      <c r="K686" s="135">
        <v>34981.2</v>
      </c>
      <c r="L686" s="604">
        <v>0</v>
      </c>
      <c r="M686" s="605">
        <f t="shared" si="46"/>
        <v>99.94628571428571</v>
      </c>
    </row>
    <row r="687" spans="1:13" ht="36">
      <c r="A687" s="129" t="s">
        <v>892</v>
      </c>
      <c r="B687" s="184" t="s">
        <v>781</v>
      </c>
      <c r="C687" s="124" t="s">
        <v>1623</v>
      </c>
      <c r="D687" s="124" t="s">
        <v>852</v>
      </c>
      <c r="E687" s="148" t="s">
        <v>418</v>
      </c>
      <c r="F687" s="124" t="s">
        <v>2</v>
      </c>
      <c r="G687" s="135">
        <v>0</v>
      </c>
      <c r="H687" s="135">
        <v>25000</v>
      </c>
      <c r="K687" s="135">
        <v>0</v>
      </c>
      <c r="L687" s="604">
        <v>0</v>
      </c>
      <c r="M687" s="605">
        <f t="shared" si="46"/>
        <v>0</v>
      </c>
    </row>
    <row r="688" spans="1:13" ht="24" hidden="1">
      <c r="A688" s="129" t="s">
        <v>792</v>
      </c>
      <c r="B688" s="184" t="s">
        <v>781</v>
      </c>
      <c r="C688" s="124" t="s">
        <v>1623</v>
      </c>
      <c r="D688" s="124" t="s">
        <v>852</v>
      </c>
      <c r="E688" s="148" t="s">
        <v>418</v>
      </c>
      <c r="F688" s="124" t="s">
        <v>2</v>
      </c>
      <c r="G688" s="135">
        <f>4173.7-4173.7</f>
        <v>0</v>
      </c>
      <c r="H688" s="135">
        <f>4173.7-4173.7</f>
        <v>0</v>
      </c>
      <c r="K688" s="135">
        <f>4173.7-4173.7</f>
        <v>0</v>
      </c>
      <c r="L688" s="604">
        <v>0</v>
      </c>
      <c r="M688" s="605" t="e">
        <f t="shared" si="46"/>
        <v>#DIV/0!</v>
      </c>
    </row>
    <row r="689" spans="1:13" ht="24">
      <c r="A689" s="129" t="s">
        <v>1322</v>
      </c>
      <c r="B689" s="184" t="s">
        <v>781</v>
      </c>
      <c r="C689" s="124" t="s">
        <v>1623</v>
      </c>
      <c r="D689" s="124" t="s">
        <v>852</v>
      </c>
      <c r="E689" s="148" t="s">
        <v>418</v>
      </c>
      <c r="F689" s="124" t="s">
        <v>2</v>
      </c>
      <c r="G689" s="135">
        <v>0</v>
      </c>
      <c r="H689" s="135">
        <v>722</v>
      </c>
      <c r="K689" s="135">
        <v>0</v>
      </c>
      <c r="L689" s="604">
        <v>0</v>
      </c>
      <c r="M689" s="605">
        <f t="shared" si="46"/>
        <v>0</v>
      </c>
    </row>
    <row r="690" spans="1:13" ht="24">
      <c r="A690" s="129" t="s">
        <v>1465</v>
      </c>
      <c r="B690" s="184" t="s">
        <v>781</v>
      </c>
      <c r="C690" s="124" t="s">
        <v>1623</v>
      </c>
      <c r="D690" s="124" t="s">
        <v>852</v>
      </c>
      <c r="E690" s="148" t="s">
        <v>418</v>
      </c>
      <c r="F690" s="124" t="s">
        <v>2</v>
      </c>
      <c r="G690" s="135">
        <v>0</v>
      </c>
      <c r="H690" s="135">
        <v>1600</v>
      </c>
      <c r="K690" s="135">
        <v>1600</v>
      </c>
      <c r="L690" s="604">
        <v>0</v>
      </c>
      <c r="M690" s="605">
        <f t="shared" si="46"/>
        <v>100</v>
      </c>
    </row>
    <row r="691" spans="1:13" ht="36">
      <c r="A691" s="129" t="s">
        <v>573</v>
      </c>
      <c r="B691" s="184" t="s">
        <v>781</v>
      </c>
      <c r="C691" s="124" t="s">
        <v>1623</v>
      </c>
      <c r="D691" s="124" t="s">
        <v>852</v>
      </c>
      <c r="E691" s="148" t="s">
        <v>419</v>
      </c>
      <c r="F691" s="124" t="s">
        <v>1704</v>
      </c>
      <c r="G691" s="132">
        <v>3512.9</v>
      </c>
      <c r="H691" s="132">
        <f>H692</f>
        <v>2500</v>
      </c>
      <c r="K691" s="132">
        <f>K692</f>
        <v>2464.3</v>
      </c>
      <c r="L691" s="604">
        <f t="shared" si="45"/>
        <v>70.15001850323095</v>
      </c>
      <c r="M691" s="605">
        <f t="shared" si="46"/>
        <v>98.572</v>
      </c>
    </row>
    <row r="692" spans="1:13" ht="24">
      <c r="A692" s="130" t="s">
        <v>621</v>
      </c>
      <c r="B692" s="184" t="s">
        <v>781</v>
      </c>
      <c r="C692" s="124" t="s">
        <v>1623</v>
      </c>
      <c r="D692" s="124" t="s">
        <v>852</v>
      </c>
      <c r="E692" s="148" t="s">
        <v>419</v>
      </c>
      <c r="F692" s="124" t="s">
        <v>1619</v>
      </c>
      <c r="G692" s="135">
        <f>3512.9</f>
        <v>3512.9</v>
      </c>
      <c r="H692" s="135">
        <f>3512.9-1012.9</f>
        <v>2500</v>
      </c>
      <c r="K692" s="135">
        <v>2464.3</v>
      </c>
      <c r="L692" s="604">
        <f t="shared" si="45"/>
        <v>70.15001850323095</v>
      </c>
      <c r="M692" s="605">
        <f t="shared" si="46"/>
        <v>98.572</v>
      </c>
    </row>
    <row r="693" spans="1:13" ht="15">
      <c r="A693" s="151" t="s">
        <v>1684</v>
      </c>
      <c r="B693" s="184" t="s">
        <v>781</v>
      </c>
      <c r="C693" s="124" t="s">
        <v>1623</v>
      </c>
      <c r="D693" s="124" t="s">
        <v>852</v>
      </c>
      <c r="E693" s="148" t="s">
        <v>420</v>
      </c>
      <c r="F693" s="124"/>
      <c r="G693" s="132">
        <f>G694</f>
        <v>10000</v>
      </c>
      <c r="H693" s="132">
        <f>H694</f>
        <v>9857.4</v>
      </c>
      <c r="K693" s="132">
        <f>K694</f>
        <v>9857.4</v>
      </c>
      <c r="L693" s="604">
        <f t="shared" si="45"/>
        <v>98.574</v>
      </c>
      <c r="M693" s="605">
        <f t="shared" si="46"/>
        <v>100</v>
      </c>
    </row>
    <row r="694" spans="1:13" ht="24">
      <c r="A694" s="130" t="s">
        <v>1312</v>
      </c>
      <c r="B694" s="184" t="s">
        <v>781</v>
      </c>
      <c r="C694" s="124" t="s">
        <v>1623</v>
      </c>
      <c r="D694" s="124" t="s">
        <v>852</v>
      </c>
      <c r="E694" s="148" t="s">
        <v>420</v>
      </c>
      <c r="F694" s="124" t="s">
        <v>1704</v>
      </c>
      <c r="G694" s="132">
        <f>G695</f>
        <v>10000</v>
      </c>
      <c r="H694" s="132">
        <f>H695</f>
        <v>9857.4</v>
      </c>
      <c r="K694" s="132">
        <f>K695</f>
        <v>9857.4</v>
      </c>
      <c r="L694" s="604">
        <f t="shared" si="45"/>
        <v>98.574</v>
      </c>
      <c r="M694" s="605">
        <f t="shared" si="46"/>
        <v>100</v>
      </c>
    </row>
    <row r="695" spans="1:13" ht="20.25" customHeight="1">
      <c r="A695" s="130" t="s">
        <v>1406</v>
      </c>
      <c r="B695" s="184" t="s">
        <v>781</v>
      </c>
      <c r="C695" s="124" t="s">
        <v>1623</v>
      </c>
      <c r="D695" s="124" t="s">
        <v>852</v>
      </c>
      <c r="E695" s="148" t="s">
        <v>420</v>
      </c>
      <c r="F695" s="124" t="s">
        <v>1619</v>
      </c>
      <c r="G695" s="135">
        <f>10000</f>
        <v>10000</v>
      </c>
      <c r="H695" s="135">
        <f>10000-142.6</f>
        <v>9857.4</v>
      </c>
      <c r="K695" s="135">
        <f>10000-142.6</f>
        <v>9857.4</v>
      </c>
      <c r="L695" s="604">
        <f t="shared" si="45"/>
        <v>98.574</v>
      </c>
      <c r="M695" s="605">
        <f t="shared" si="46"/>
        <v>100</v>
      </c>
    </row>
    <row r="696" spans="1:13" ht="15">
      <c r="A696" s="139" t="s">
        <v>1236</v>
      </c>
      <c r="B696" s="184" t="s">
        <v>781</v>
      </c>
      <c r="C696" s="124" t="s">
        <v>1623</v>
      </c>
      <c r="D696" s="124" t="s">
        <v>1627</v>
      </c>
      <c r="E696" s="148"/>
      <c r="F696" s="124"/>
      <c r="G696" s="132">
        <f>G697+G747+G754+G762+G767+G758</f>
        <v>243834.1</v>
      </c>
      <c r="H696" s="132">
        <f>H697+H747+H754+H762+H767+H758</f>
        <v>260345.3</v>
      </c>
      <c r="K696" s="132">
        <f>K697+K747+K754+K762+K767+K758</f>
        <v>243919.39</v>
      </c>
      <c r="L696" s="604">
        <f t="shared" si="45"/>
        <v>100.03497870068215</v>
      </c>
      <c r="M696" s="605">
        <f t="shared" si="46"/>
        <v>93.69072151484971</v>
      </c>
    </row>
    <row r="697" spans="1:13" ht="24">
      <c r="A697" s="149" t="s">
        <v>492</v>
      </c>
      <c r="B697" s="184" t="s">
        <v>781</v>
      </c>
      <c r="C697" s="124" t="s">
        <v>1623</v>
      </c>
      <c r="D697" s="124" t="s">
        <v>1627</v>
      </c>
      <c r="E697" s="124" t="s">
        <v>1727</v>
      </c>
      <c r="F697" s="124"/>
      <c r="G697" s="132">
        <f>G698+G702</f>
        <v>140214.1</v>
      </c>
      <c r="H697" s="132">
        <f>H698+H702</f>
        <v>132950.19999999995</v>
      </c>
      <c r="K697" s="132">
        <f>K698+K702</f>
        <v>124891</v>
      </c>
      <c r="L697" s="604">
        <f t="shared" si="45"/>
        <v>89.07164115449159</v>
      </c>
      <c r="M697" s="605">
        <f t="shared" si="46"/>
        <v>93.93818136414993</v>
      </c>
    </row>
    <row r="698" spans="1:13" ht="60">
      <c r="A698" s="129" t="s">
        <v>1669</v>
      </c>
      <c r="B698" s="184" t="s">
        <v>781</v>
      </c>
      <c r="C698" s="124" t="s">
        <v>1623</v>
      </c>
      <c r="D698" s="124" t="s">
        <v>1627</v>
      </c>
      <c r="E698" s="124" t="s">
        <v>805</v>
      </c>
      <c r="F698" s="124"/>
      <c r="G698" s="132">
        <f aca="true" t="shared" si="48" ref="G698:H700">G699</f>
        <v>62294.1</v>
      </c>
      <c r="H698" s="132">
        <f t="shared" si="48"/>
        <v>33233.6</v>
      </c>
      <c r="K698" s="132">
        <f>K699</f>
        <v>32480.6</v>
      </c>
      <c r="L698" s="604">
        <f t="shared" si="45"/>
        <v>52.140732428913815</v>
      </c>
      <c r="M698" s="605">
        <f t="shared" si="46"/>
        <v>97.73422078859949</v>
      </c>
    </row>
    <row r="699" spans="1:13" ht="24">
      <c r="A699" s="14" t="s">
        <v>421</v>
      </c>
      <c r="B699" s="184" t="s">
        <v>781</v>
      </c>
      <c r="C699" s="124" t="s">
        <v>1623</v>
      </c>
      <c r="D699" s="124" t="s">
        <v>1627</v>
      </c>
      <c r="E699" s="124" t="s">
        <v>422</v>
      </c>
      <c r="F699" s="124"/>
      <c r="G699" s="132">
        <f t="shared" si="48"/>
        <v>62294.1</v>
      </c>
      <c r="H699" s="132">
        <f t="shared" si="48"/>
        <v>33233.6</v>
      </c>
      <c r="K699" s="132">
        <f>K700</f>
        <v>32480.6</v>
      </c>
      <c r="L699" s="604">
        <f t="shared" si="45"/>
        <v>52.140732428913815</v>
      </c>
      <c r="M699" s="605">
        <f t="shared" si="46"/>
        <v>97.73422078859949</v>
      </c>
    </row>
    <row r="700" spans="1:13" ht="24">
      <c r="A700" s="130" t="s">
        <v>1312</v>
      </c>
      <c r="B700" s="184" t="s">
        <v>781</v>
      </c>
      <c r="C700" s="124" t="s">
        <v>1623</v>
      </c>
      <c r="D700" s="124" t="s">
        <v>1627</v>
      </c>
      <c r="E700" s="124" t="s">
        <v>422</v>
      </c>
      <c r="F700" s="124" t="s">
        <v>1704</v>
      </c>
      <c r="G700" s="132">
        <f t="shared" si="48"/>
        <v>62294.1</v>
      </c>
      <c r="H700" s="132">
        <f t="shared" si="48"/>
        <v>33233.6</v>
      </c>
      <c r="K700" s="132">
        <f>K701</f>
        <v>32480.6</v>
      </c>
      <c r="L700" s="604">
        <f t="shared" si="45"/>
        <v>52.140732428913815</v>
      </c>
      <c r="M700" s="605">
        <f t="shared" si="46"/>
        <v>97.73422078859949</v>
      </c>
    </row>
    <row r="701" spans="1:13" ht="18" customHeight="1">
      <c r="A701" s="130" t="s">
        <v>1406</v>
      </c>
      <c r="B701" s="184" t="s">
        <v>781</v>
      </c>
      <c r="C701" s="124" t="s">
        <v>1623</v>
      </c>
      <c r="D701" s="124" t="s">
        <v>1627</v>
      </c>
      <c r="E701" s="124" t="s">
        <v>422</v>
      </c>
      <c r="F701" s="124" t="s">
        <v>1619</v>
      </c>
      <c r="G701" s="135">
        <v>62294.1</v>
      </c>
      <c r="H701" s="135">
        <f>22000+40294.1-32615.9-50.7-270.2+2367-529+2038.3</f>
        <v>33233.6</v>
      </c>
      <c r="K701" s="135">
        <v>32480.6</v>
      </c>
      <c r="L701" s="604">
        <f t="shared" si="45"/>
        <v>52.140732428913815</v>
      </c>
      <c r="M701" s="605">
        <f t="shared" si="46"/>
        <v>97.73422078859949</v>
      </c>
    </row>
    <row r="702" spans="1:13" ht="24">
      <c r="A702" s="130" t="s">
        <v>493</v>
      </c>
      <c r="B702" s="184" t="s">
        <v>781</v>
      </c>
      <c r="C702" s="124" t="s">
        <v>1623</v>
      </c>
      <c r="D702" s="124" t="s">
        <v>1627</v>
      </c>
      <c r="E702" s="124" t="s">
        <v>1508</v>
      </c>
      <c r="F702" s="124"/>
      <c r="G702" s="132">
        <f>G703+G706+G709+G738+G741+G744</f>
        <v>77920</v>
      </c>
      <c r="H702" s="132">
        <f>H703+H706+H709+H738+H741+H744</f>
        <v>99716.59999999996</v>
      </c>
      <c r="K702" s="132">
        <f>K703+K706+K709+K738+K741+K744</f>
        <v>92410.4</v>
      </c>
      <c r="L702" s="604">
        <f t="shared" si="45"/>
        <v>118.5965092402464</v>
      </c>
      <c r="M702" s="605">
        <f t="shared" si="46"/>
        <v>92.6730353822734</v>
      </c>
    </row>
    <row r="703" spans="1:13" ht="15">
      <c r="A703" s="134" t="s">
        <v>1237</v>
      </c>
      <c r="B703" s="184" t="s">
        <v>781</v>
      </c>
      <c r="C703" s="124" t="s">
        <v>1623</v>
      </c>
      <c r="D703" s="124" t="s">
        <v>1627</v>
      </c>
      <c r="E703" s="124" t="s">
        <v>423</v>
      </c>
      <c r="F703" s="124"/>
      <c r="G703" s="132">
        <f>G704</f>
        <v>0</v>
      </c>
      <c r="H703" s="132">
        <f>H704</f>
        <v>0</v>
      </c>
      <c r="K703" s="132">
        <f>K704</f>
        <v>0</v>
      </c>
      <c r="L703" s="604">
        <v>0</v>
      </c>
      <c r="M703" s="604">
        <v>0</v>
      </c>
    </row>
    <row r="704" spans="1:13" ht="24">
      <c r="A704" s="129" t="s">
        <v>1312</v>
      </c>
      <c r="B704" s="184" t="s">
        <v>781</v>
      </c>
      <c r="C704" s="124" t="s">
        <v>1623</v>
      </c>
      <c r="D704" s="124" t="s">
        <v>1627</v>
      </c>
      <c r="E704" s="124" t="s">
        <v>423</v>
      </c>
      <c r="F704" s="124" t="s">
        <v>1704</v>
      </c>
      <c r="G704" s="132">
        <f>G705</f>
        <v>0</v>
      </c>
      <c r="H704" s="132">
        <f>H705</f>
        <v>0</v>
      </c>
      <c r="K704" s="132">
        <f>K705</f>
        <v>0</v>
      </c>
      <c r="L704" s="604">
        <v>0</v>
      </c>
      <c r="M704" s="604">
        <v>0</v>
      </c>
    </row>
    <row r="705" spans="1:13" ht="19.5" customHeight="1">
      <c r="A705" s="130" t="s">
        <v>621</v>
      </c>
      <c r="B705" s="184" t="s">
        <v>781</v>
      </c>
      <c r="C705" s="124" t="s">
        <v>1623</v>
      </c>
      <c r="D705" s="124" t="s">
        <v>1627</v>
      </c>
      <c r="E705" s="124" t="s">
        <v>423</v>
      </c>
      <c r="F705" s="124" t="s">
        <v>1619</v>
      </c>
      <c r="G705" s="135">
        <f>87000-66000-21000</f>
        <v>0</v>
      </c>
      <c r="H705" s="135">
        <f>87000-66000-21000</f>
        <v>0</v>
      </c>
      <c r="K705" s="135">
        <f>87000-66000-21000</f>
        <v>0</v>
      </c>
      <c r="L705" s="604">
        <v>0</v>
      </c>
      <c r="M705" s="604">
        <v>0</v>
      </c>
    </row>
    <row r="706" spans="1:13" ht="36">
      <c r="A706" s="129" t="s">
        <v>1720</v>
      </c>
      <c r="B706" s="184" t="s">
        <v>781</v>
      </c>
      <c r="C706" s="124" t="s">
        <v>1623</v>
      </c>
      <c r="D706" s="124" t="s">
        <v>1627</v>
      </c>
      <c r="E706" s="124" t="s">
        <v>424</v>
      </c>
      <c r="F706" s="124"/>
      <c r="G706" s="132">
        <f>G707</f>
        <v>13240</v>
      </c>
      <c r="H706" s="132">
        <f>H707</f>
        <v>8228.1</v>
      </c>
      <c r="K706" s="132">
        <f>K707</f>
        <v>7973.9</v>
      </c>
      <c r="L706" s="604">
        <f t="shared" si="45"/>
        <v>60.22583081570997</v>
      </c>
      <c r="M706" s="605">
        <f t="shared" si="46"/>
        <v>96.91058689126287</v>
      </c>
    </row>
    <row r="707" spans="1:13" ht="36">
      <c r="A707" s="129" t="s">
        <v>1720</v>
      </c>
      <c r="B707" s="184" t="s">
        <v>781</v>
      </c>
      <c r="C707" s="124" t="s">
        <v>1623</v>
      </c>
      <c r="D707" s="124" t="s">
        <v>1627</v>
      </c>
      <c r="E707" s="124" t="s">
        <v>424</v>
      </c>
      <c r="F707" s="124" t="s">
        <v>751</v>
      </c>
      <c r="G707" s="132">
        <f>G708</f>
        <v>13240</v>
      </c>
      <c r="H707" s="132">
        <f>H708</f>
        <v>8228.1</v>
      </c>
      <c r="K707" s="132">
        <f>K708</f>
        <v>7973.9</v>
      </c>
      <c r="L707" s="604">
        <f t="shared" si="45"/>
        <v>60.22583081570997</v>
      </c>
      <c r="M707" s="605">
        <f t="shared" si="46"/>
        <v>96.91058689126287</v>
      </c>
    </row>
    <row r="708" spans="1:13" ht="20.25" customHeight="1">
      <c r="A708" s="134" t="s">
        <v>1435</v>
      </c>
      <c r="B708" s="184" t="s">
        <v>781</v>
      </c>
      <c r="C708" s="124" t="s">
        <v>1623</v>
      </c>
      <c r="D708" s="124" t="s">
        <v>1627</v>
      </c>
      <c r="E708" s="124" t="s">
        <v>424</v>
      </c>
      <c r="F708" s="124" t="s">
        <v>1436</v>
      </c>
      <c r="G708" s="135">
        <f>13240</f>
        <v>13240</v>
      </c>
      <c r="H708" s="135">
        <f>13240-2371.9-2640</f>
        <v>8228.1</v>
      </c>
      <c r="K708" s="135">
        <v>7973.9</v>
      </c>
      <c r="L708" s="604">
        <f t="shared" si="45"/>
        <v>60.22583081570997</v>
      </c>
      <c r="M708" s="605">
        <f t="shared" si="46"/>
        <v>96.91058689126287</v>
      </c>
    </row>
    <row r="709" spans="1:13" ht="24">
      <c r="A709" s="134" t="s">
        <v>134</v>
      </c>
      <c r="B709" s="184" t="s">
        <v>781</v>
      </c>
      <c r="C709" s="124" t="s">
        <v>1623</v>
      </c>
      <c r="D709" s="124" t="s">
        <v>1627</v>
      </c>
      <c r="E709" s="124" t="s">
        <v>39</v>
      </c>
      <c r="F709" s="124"/>
      <c r="G709" s="132">
        <f>G710+G712</f>
        <v>64680</v>
      </c>
      <c r="H709" s="132">
        <f>H710+H712</f>
        <v>88255.39999999997</v>
      </c>
      <c r="K709" s="132">
        <f>K710+K712</f>
        <v>83592.3</v>
      </c>
      <c r="L709" s="604">
        <f t="shared" si="45"/>
        <v>129.23979591836735</v>
      </c>
      <c r="M709" s="605">
        <f t="shared" si="46"/>
        <v>94.71635729938342</v>
      </c>
    </row>
    <row r="710" spans="1:13" ht="24">
      <c r="A710" s="130" t="s">
        <v>1312</v>
      </c>
      <c r="B710" s="184" t="s">
        <v>781</v>
      </c>
      <c r="C710" s="124" t="s">
        <v>1623</v>
      </c>
      <c r="D710" s="124" t="s">
        <v>1627</v>
      </c>
      <c r="E710" s="124" t="s">
        <v>39</v>
      </c>
      <c r="F710" s="124" t="s">
        <v>1704</v>
      </c>
      <c r="G710" s="132">
        <f>G711</f>
        <v>0</v>
      </c>
      <c r="H710" s="132">
        <f>H711</f>
        <v>14161.099999999999</v>
      </c>
      <c r="K710" s="132">
        <f>K711</f>
        <v>13456.5</v>
      </c>
      <c r="L710" s="604">
        <v>0</v>
      </c>
      <c r="M710" s="605">
        <f t="shared" si="46"/>
        <v>95.02439782220308</v>
      </c>
    </row>
    <row r="711" spans="1:13" ht="24">
      <c r="A711" s="130" t="s">
        <v>621</v>
      </c>
      <c r="B711" s="184" t="s">
        <v>781</v>
      </c>
      <c r="C711" s="124" t="s">
        <v>1623</v>
      </c>
      <c r="D711" s="124" t="s">
        <v>1627</v>
      </c>
      <c r="E711" s="124" t="s">
        <v>39</v>
      </c>
      <c r="F711" s="124" t="s">
        <v>1619</v>
      </c>
      <c r="G711" s="135">
        <v>0</v>
      </c>
      <c r="H711" s="135">
        <f>3327.3+6757.5+1275.9+2800.4</f>
        <v>14161.099999999999</v>
      </c>
      <c r="K711" s="135">
        <v>13456.5</v>
      </c>
      <c r="L711" s="604">
        <v>0</v>
      </c>
      <c r="M711" s="605">
        <f t="shared" si="46"/>
        <v>95.02439782220308</v>
      </c>
    </row>
    <row r="712" spans="1:13" ht="24">
      <c r="A712" s="129" t="s">
        <v>752</v>
      </c>
      <c r="B712" s="184" t="s">
        <v>781</v>
      </c>
      <c r="C712" s="124" t="s">
        <v>1623</v>
      </c>
      <c r="D712" s="124" t="s">
        <v>1627</v>
      </c>
      <c r="E712" s="124" t="s">
        <v>39</v>
      </c>
      <c r="F712" s="124" t="s">
        <v>751</v>
      </c>
      <c r="G712" s="132">
        <f>G713</f>
        <v>64680</v>
      </c>
      <c r="H712" s="132">
        <f>H713</f>
        <v>74094.29999999997</v>
      </c>
      <c r="K712" s="132">
        <f>K713</f>
        <v>70135.8</v>
      </c>
      <c r="L712" s="604">
        <f t="shared" si="45"/>
        <v>108.43506493506494</v>
      </c>
      <c r="M712" s="605">
        <f t="shared" si="46"/>
        <v>94.65748377405554</v>
      </c>
    </row>
    <row r="713" spans="1:13" ht="24">
      <c r="A713" s="134" t="s">
        <v>18</v>
      </c>
      <c r="B713" s="184" t="s">
        <v>781</v>
      </c>
      <c r="C713" s="124" t="s">
        <v>1623</v>
      </c>
      <c r="D713" s="124" t="s">
        <v>1627</v>
      </c>
      <c r="E713" s="124" t="s">
        <v>39</v>
      </c>
      <c r="F713" s="124" t="s">
        <v>1436</v>
      </c>
      <c r="G713" s="135">
        <f>64680</f>
        <v>64680</v>
      </c>
      <c r="H713" s="135">
        <f>64680-5800-8443-1420+2000-4280+191+132+4280+5800+2998.5+847+1252.7+630.3+264.1-7000+389.7+3267.7+700+200+288+1364.3+2848+2171.3+1945.9-2130.7-574.1+H731+H732+H733+H734-700+400+300+H735-142.4-447.9-1069-1397.9-1064.3+H736+2561.5+2400+3400+1760.2-300</f>
        <v>74094.29999999997</v>
      </c>
      <c r="K713" s="135">
        <v>70135.8</v>
      </c>
      <c r="L713" s="604">
        <f t="shared" si="45"/>
        <v>108.43506493506494</v>
      </c>
      <c r="M713" s="605">
        <f t="shared" si="46"/>
        <v>94.65748377405554</v>
      </c>
    </row>
    <row r="714" spans="1:13" ht="24">
      <c r="A714" s="134" t="s">
        <v>1646</v>
      </c>
      <c r="B714" s="184" t="s">
        <v>781</v>
      </c>
      <c r="C714" s="124" t="s">
        <v>1623</v>
      </c>
      <c r="D714" s="124" t="s">
        <v>1627</v>
      </c>
      <c r="E714" s="124" t="s">
        <v>39</v>
      </c>
      <c r="F714" s="124" t="s">
        <v>1436</v>
      </c>
      <c r="G714" s="138">
        <v>400</v>
      </c>
      <c r="H714" s="138">
        <v>400</v>
      </c>
      <c r="K714" s="138">
        <v>393.1</v>
      </c>
      <c r="L714" s="604">
        <f t="shared" si="45"/>
        <v>98.275</v>
      </c>
      <c r="M714" s="605">
        <f t="shared" si="46"/>
        <v>98.275</v>
      </c>
    </row>
    <row r="715" spans="1:13" ht="24">
      <c r="A715" s="189" t="s">
        <v>1713</v>
      </c>
      <c r="B715" s="184" t="s">
        <v>781</v>
      </c>
      <c r="C715" s="124" t="s">
        <v>1623</v>
      </c>
      <c r="D715" s="124" t="s">
        <v>1627</v>
      </c>
      <c r="E715" s="124" t="s">
        <v>39</v>
      </c>
      <c r="F715" s="124" t="s">
        <v>1436</v>
      </c>
      <c r="G715" s="138">
        <f>7000</f>
        <v>7000</v>
      </c>
      <c r="H715" s="138">
        <f>7000-7000</f>
        <v>0</v>
      </c>
      <c r="K715" s="138">
        <f>7000-7000</f>
        <v>0</v>
      </c>
      <c r="L715" s="604">
        <f>K715/G715*100</f>
        <v>0</v>
      </c>
      <c r="M715" s="604">
        <v>0</v>
      </c>
    </row>
    <row r="716" spans="1:13" ht="36">
      <c r="A716" s="152" t="s">
        <v>1647</v>
      </c>
      <c r="B716" s="184" t="s">
        <v>781</v>
      </c>
      <c r="C716" s="124" t="s">
        <v>1623</v>
      </c>
      <c r="D716" s="124" t="s">
        <v>1627</v>
      </c>
      <c r="E716" s="124" t="s">
        <v>39</v>
      </c>
      <c r="F716" s="124" t="s">
        <v>1436</v>
      </c>
      <c r="G716" s="138">
        <f>1500</f>
        <v>1500</v>
      </c>
      <c r="H716" s="138">
        <f>1500-574.1</f>
        <v>925.9</v>
      </c>
      <c r="K716" s="138">
        <f>1500-574.1</f>
        <v>925.9</v>
      </c>
      <c r="L716" s="604">
        <f>K716/G716*100</f>
        <v>61.72666666666666</v>
      </c>
      <c r="M716" s="605">
        <f t="shared" si="46"/>
        <v>100</v>
      </c>
    </row>
    <row r="717" spans="1:13" ht="24">
      <c r="A717" s="152" t="s">
        <v>1648</v>
      </c>
      <c r="B717" s="184" t="s">
        <v>781</v>
      </c>
      <c r="C717" s="124" t="s">
        <v>1623</v>
      </c>
      <c r="D717" s="124" t="s">
        <v>1627</v>
      </c>
      <c r="E717" s="124" t="s">
        <v>39</v>
      </c>
      <c r="F717" s="124" t="s">
        <v>1436</v>
      </c>
      <c r="G717" s="138">
        <f>4900</f>
        <v>4900</v>
      </c>
      <c r="H717" s="138">
        <f>4900-400-2130.7</f>
        <v>2369.3</v>
      </c>
      <c r="K717" s="138">
        <v>2339.6</v>
      </c>
      <c r="L717" s="604">
        <f>K717/G717*100</f>
        <v>47.7469387755102</v>
      </c>
      <c r="M717" s="605">
        <f aca="true" t="shared" si="49" ref="M717:M780">K717/H717*100</f>
        <v>98.74646520069219</v>
      </c>
    </row>
    <row r="718" spans="1:13" ht="24">
      <c r="A718" s="134" t="s">
        <v>793</v>
      </c>
      <c r="B718" s="184" t="s">
        <v>781</v>
      </c>
      <c r="C718" s="124" t="s">
        <v>1623</v>
      </c>
      <c r="D718" s="124" t="s">
        <v>1627</v>
      </c>
      <c r="E718" s="124" t="s">
        <v>39</v>
      </c>
      <c r="F718" s="124" t="s">
        <v>1436</v>
      </c>
      <c r="G718" s="138">
        <v>0</v>
      </c>
      <c r="H718" s="138">
        <v>4280</v>
      </c>
      <c r="K718" s="138">
        <v>4271.9</v>
      </c>
      <c r="L718" s="604">
        <v>0</v>
      </c>
      <c r="M718" s="605">
        <f t="shared" si="49"/>
        <v>99.8107476635514</v>
      </c>
    </row>
    <row r="719" spans="1:13" ht="24">
      <c r="A719" s="152" t="s">
        <v>1649</v>
      </c>
      <c r="B719" s="184" t="s">
        <v>781</v>
      </c>
      <c r="C719" s="124" t="s">
        <v>1623</v>
      </c>
      <c r="D719" s="124" t="s">
        <v>1627</v>
      </c>
      <c r="E719" s="124" t="s">
        <v>39</v>
      </c>
      <c r="F719" s="124" t="s">
        <v>1436</v>
      </c>
      <c r="G719" s="138">
        <v>0</v>
      </c>
      <c r="H719" s="138">
        <f>5800-1397.9-2907.9</f>
        <v>1494.2000000000003</v>
      </c>
      <c r="K719" s="138">
        <v>1462.3</v>
      </c>
      <c r="L719" s="604">
        <v>0</v>
      </c>
      <c r="M719" s="605">
        <f t="shared" si="49"/>
        <v>97.8650783027707</v>
      </c>
    </row>
    <row r="720" spans="1:13" ht="24">
      <c r="A720" s="152" t="s">
        <v>1650</v>
      </c>
      <c r="B720" s="184" t="s">
        <v>781</v>
      </c>
      <c r="C720" s="124" t="s">
        <v>1623</v>
      </c>
      <c r="D720" s="124" t="s">
        <v>1627</v>
      </c>
      <c r="E720" s="124" t="s">
        <v>39</v>
      </c>
      <c r="F720" s="124" t="s">
        <v>1436</v>
      </c>
      <c r="G720" s="138">
        <v>0</v>
      </c>
      <c r="H720" s="138">
        <f>2998.5+400-447.9</f>
        <v>2950.6</v>
      </c>
      <c r="K720" s="138">
        <v>2942.6</v>
      </c>
      <c r="L720" s="604">
        <v>0</v>
      </c>
      <c r="M720" s="605">
        <f t="shared" si="49"/>
        <v>99.72886870467023</v>
      </c>
    </row>
    <row r="721" spans="1:13" ht="36">
      <c r="A721" s="152" t="s">
        <v>1651</v>
      </c>
      <c r="B721" s="184" t="s">
        <v>781</v>
      </c>
      <c r="C721" s="124" t="s">
        <v>1623</v>
      </c>
      <c r="D721" s="124" t="s">
        <v>1627</v>
      </c>
      <c r="E721" s="124" t="s">
        <v>39</v>
      </c>
      <c r="F721" s="124" t="s">
        <v>1436</v>
      </c>
      <c r="G721" s="138">
        <v>0</v>
      </c>
      <c r="H721" s="138">
        <v>847</v>
      </c>
      <c r="K721" s="138">
        <v>428.4</v>
      </c>
      <c r="L721" s="604">
        <v>0</v>
      </c>
      <c r="M721" s="605">
        <f t="shared" si="49"/>
        <v>50.57851239669421</v>
      </c>
    </row>
    <row r="722" spans="1:13" ht="24">
      <c r="A722" s="152" t="s">
        <v>794</v>
      </c>
      <c r="B722" s="184" t="s">
        <v>781</v>
      </c>
      <c r="C722" s="124" t="s">
        <v>1623</v>
      </c>
      <c r="D722" s="124" t="s">
        <v>1627</v>
      </c>
      <c r="E722" s="124" t="s">
        <v>39</v>
      </c>
      <c r="F722" s="124" t="s">
        <v>1436</v>
      </c>
      <c r="G722" s="138">
        <v>0</v>
      </c>
      <c r="H722" s="138">
        <f>1252.7-142.4</f>
        <v>1110.3</v>
      </c>
      <c r="K722" s="138">
        <v>1105.8</v>
      </c>
      <c r="L722" s="604">
        <v>0</v>
      </c>
      <c r="M722" s="605">
        <f t="shared" si="49"/>
        <v>99.59470413401783</v>
      </c>
    </row>
    <row r="723" spans="1:13" ht="24">
      <c r="A723" s="152" t="s">
        <v>893</v>
      </c>
      <c r="B723" s="184" t="s">
        <v>781</v>
      </c>
      <c r="C723" s="124" t="s">
        <v>1623</v>
      </c>
      <c r="D723" s="124" t="s">
        <v>1627</v>
      </c>
      <c r="E723" s="124" t="s">
        <v>39</v>
      </c>
      <c r="F723" s="124" t="s">
        <v>1436</v>
      </c>
      <c r="G723" s="135">
        <f>700-700</f>
        <v>0</v>
      </c>
      <c r="H723" s="135">
        <f>700-700</f>
        <v>0</v>
      </c>
      <c r="K723" s="135">
        <f>700-700</f>
        <v>0</v>
      </c>
      <c r="L723" s="604">
        <v>0</v>
      </c>
      <c r="M723" s="604">
        <v>0</v>
      </c>
    </row>
    <row r="724" spans="1:13" ht="24">
      <c r="A724" s="152" t="s">
        <v>894</v>
      </c>
      <c r="B724" s="184" t="s">
        <v>781</v>
      </c>
      <c r="C724" s="124" t="s">
        <v>1623</v>
      </c>
      <c r="D724" s="124" t="s">
        <v>1627</v>
      </c>
      <c r="E724" s="124" t="s">
        <v>39</v>
      </c>
      <c r="F724" s="124" t="s">
        <v>1436</v>
      </c>
      <c r="G724" s="135">
        <v>0</v>
      </c>
      <c r="H724" s="135">
        <f>200+300</f>
        <v>500</v>
      </c>
      <c r="K724" s="135">
        <f>200+300</f>
        <v>500</v>
      </c>
      <c r="L724" s="604">
        <v>0</v>
      </c>
      <c r="M724" s="605">
        <f t="shared" si="49"/>
        <v>100</v>
      </c>
    </row>
    <row r="725" spans="1:13" ht="36">
      <c r="A725" s="152" t="s">
        <v>895</v>
      </c>
      <c r="B725" s="184" t="s">
        <v>781</v>
      </c>
      <c r="C725" s="124" t="s">
        <v>1623</v>
      </c>
      <c r="D725" s="124" t="s">
        <v>1627</v>
      </c>
      <c r="E725" s="124" t="s">
        <v>39</v>
      </c>
      <c r="F725" s="124" t="s">
        <v>1436</v>
      </c>
      <c r="G725" s="135">
        <v>0</v>
      </c>
      <c r="H725" s="135">
        <v>288</v>
      </c>
      <c r="K725" s="135">
        <v>230</v>
      </c>
      <c r="L725" s="604">
        <v>0</v>
      </c>
      <c r="M725" s="605">
        <f t="shared" si="49"/>
        <v>79.86111111111111</v>
      </c>
    </row>
    <row r="726" spans="1:13" ht="24">
      <c r="A726" s="152" t="s">
        <v>1323</v>
      </c>
      <c r="B726" s="184" t="s">
        <v>781</v>
      </c>
      <c r="C726" s="124" t="s">
        <v>1623</v>
      </c>
      <c r="D726" s="124" t="s">
        <v>1627</v>
      </c>
      <c r="E726" s="124" t="s">
        <v>39</v>
      </c>
      <c r="F726" s="124" t="s">
        <v>1436</v>
      </c>
      <c r="G726" s="135">
        <v>0</v>
      </c>
      <c r="H726" s="135">
        <v>400</v>
      </c>
      <c r="K726" s="135">
        <v>257.1</v>
      </c>
      <c r="L726" s="604">
        <v>0</v>
      </c>
      <c r="M726" s="605">
        <f t="shared" si="49"/>
        <v>64.275</v>
      </c>
    </row>
    <row r="727" spans="1:13" ht="24">
      <c r="A727" s="152" t="s">
        <v>1025</v>
      </c>
      <c r="B727" s="184" t="s">
        <v>781</v>
      </c>
      <c r="C727" s="124" t="s">
        <v>1623</v>
      </c>
      <c r="D727" s="124" t="s">
        <v>1627</v>
      </c>
      <c r="E727" s="124" t="s">
        <v>39</v>
      </c>
      <c r="F727" s="124" t="s">
        <v>1436</v>
      </c>
      <c r="G727" s="135">
        <v>0</v>
      </c>
      <c r="H727" s="135">
        <v>100</v>
      </c>
      <c r="K727" s="135">
        <v>100</v>
      </c>
      <c r="L727" s="604">
        <v>0</v>
      </c>
      <c r="M727" s="605">
        <f t="shared" si="49"/>
        <v>100</v>
      </c>
    </row>
    <row r="728" spans="1:13" ht="24">
      <c r="A728" s="152" t="s">
        <v>1026</v>
      </c>
      <c r="B728" s="184" t="s">
        <v>781</v>
      </c>
      <c r="C728" s="124" t="s">
        <v>1623</v>
      </c>
      <c r="D728" s="124" t="s">
        <v>1627</v>
      </c>
      <c r="E728" s="124" t="s">
        <v>39</v>
      </c>
      <c r="F728" s="124" t="s">
        <v>1436</v>
      </c>
      <c r="G728" s="135">
        <v>0</v>
      </c>
      <c r="H728" s="135">
        <v>33</v>
      </c>
      <c r="K728" s="135">
        <v>32.8</v>
      </c>
      <c r="L728" s="604">
        <v>0</v>
      </c>
      <c r="M728" s="605">
        <f t="shared" si="49"/>
        <v>99.39393939393939</v>
      </c>
    </row>
    <row r="729" spans="1:13" ht="24">
      <c r="A729" s="152" t="s">
        <v>1027</v>
      </c>
      <c r="B729" s="184" t="s">
        <v>781</v>
      </c>
      <c r="C729" s="124" t="s">
        <v>1623</v>
      </c>
      <c r="D729" s="124" t="s">
        <v>1627</v>
      </c>
      <c r="E729" s="124" t="s">
        <v>39</v>
      </c>
      <c r="F729" s="124" t="s">
        <v>1436</v>
      </c>
      <c r="G729" s="135">
        <v>0</v>
      </c>
      <c r="H729" s="135">
        <f>1364.3-1064.3</f>
        <v>300</v>
      </c>
      <c r="K729" s="135">
        <v>0</v>
      </c>
      <c r="L729" s="604">
        <v>0</v>
      </c>
      <c r="M729" s="605">
        <f t="shared" si="49"/>
        <v>0</v>
      </c>
    </row>
    <row r="730" spans="1:13" ht="36">
      <c r="A730" s="152" t="s">
        <v>1028</v>
      </c>
      <c r="B730" s="184" t="s">
        <v>781</v>
      </c>
      <c r="C730" s="124" t="s">
        <v>1623</v>
      </c>
      <c r="D730" s="124" t="s">
        <v>1627</v>
      </c>
      <c r="E730" s="124" t="s">
        <v>39</v>
      </c>
      <c r="F730" s="124" t="s">
        <v>1436</v>
      </c>
      <c r="G730" s="135">
        <v>0</v>
      </c>
      <c r="H730" s="135">
        <f>2848-1069</f>
        <v>1779</v>
      </c>
      <c r="K730" s="135">
        <v>692.4</v>
      </c>
      <c r="L730" s="604">
        <v>0</v>
      </c>
      <c r="M730" s="605">
        <f t="shared" si="49"/>
        <v>38.92074198988196</v>
      </c>
    </row>
    <row r="731" spans="1:13" ht="24">
      <c r="A731" s="152" t="s">
        <v>1652</v>
      </c>
      <c r="B731" s="184" t="s">
        <v>781</v>
      </c>
      <c r="C731" s="124" t="s">
        <v>1623</v>
      </c>
      <c r="D731" s="124" t="s">
        <v>1627</v>
      </c>
      <c r="E731" s="124" t="s">
        <v>39</v>
      </c>
      <c r="F731" s="124" t="s">
        <v>1436</v>
      </c>
      <c r="G731" s="135">
        <v>0</v>
      </c>
      <c r="H731" s="135">
        <v>1288.7</v>
      </c>
      <c r="K731" s="135">
        <v>685.7</v>
      </c>
      <c r="L731" s="604">
        <v>0</v>
      </c>
      <c r="M731" s="605">
        <f t="shared" si="49"/>
        <v>53.208659889811436</v>
      </c>
    </row>
    <row r="732" spans="1:13" ht="36">
      <c r="A732" s="152" t="s">
        <v>1653</v>
      </c>
      <c r="B732" s="184" t="s">
        <v>781</v>
      </c>
      <c r="C732" s="124" t="s">
        <v>1623</v>
      </c>
      <c r="D732" s="124" t="s">
        <v>1627</v>
      </c>
      <c r="E732" s="124" t="s">
        <v>39</v>
      </c>
      <c r="F732" s="124" t="s">
        <v>1436</v>
      </c>
      <c r="G732" s="135">
        <v>0</v>
      </c>
      <c r="H732" s="135">
        <v>46.3</v>
      </c>
      <c r="K732" s="135">
        <v>46.3</v>
      </c>
      <c r="L732" s="604">
        <v>0</v>
      </c>
      <c r="M732" s="605">
        <f t="shared" si="49"/>
        <v>100</v>
      </c>
    </row>
    <row r="733" spans="1:13" ht="24">
      <c r="A733" s="152" t="s">
        <v>1654</v>
      </c>
      <c r="B733" s="184" t="s">
        <v>781</v>
      </c>
      <c r="C733" s="124" t="s">
        <v>1623</v>
      </c>
      <c r="D733" s="124" t="s">
        <v>1627</v>
      </c>
      <c r="E733" s="124" t="s">
        <v>39</v>
      </c>
      <c r="F733" s="124" t="s">
        <v>1436</v>
      </c>
      <c r="G733" s="135">
        <v>0</v>
      </c>
      <c r="H733" s="135">
        <v>196.4</v>
      </c>
      <c r="K733" s="135">
        <v>77.7</v>
      </c>
      <c r="L733" s="604">
        <v>0</v>
      </c>
      <c r="M733" s="605">
        <f t="shared" si="49"/>
        <v>39.562118126272914</v>
      </c>
    </row>
    <row r="734" spans="1:13" ht="36">
      <c r="A734" s="152" t="s">
        <v>833</v>
      </c>
      <c r="B734" s="184" t="s">
        <v>781</v>
      </c>
      <c r="C734" s="124" t="s">
        <v>1623</v>
      </c>
      <c r="D734" s="124" t="s">
        <v>1627</v>
      </c>
      <c r="E734" s="124" t="s">
        <v>39</v>
      </c>
      <c r="F734" s="124" t="s">
        <v>1436</v>
      </c>
      <c r="G734" s="135">
        <v>0</v>
      </c>
      <c r="H734" s="135">
        <f>200</f>
        <v>200</v>
      </c>
      <c r="K734" s="135">
        <v>181.9</v>
      </c>
      <c r="L734" s="604">
        <v>0</v>
      </c>
      <c r="M734" s="605">
        <f t="shared" si="49"/>
        <v>90.95</v>
      </c>
    </row>
    <row r="735" spans="1:13" ht="24">
      <c r="A735" s="152" t="s">
        <v>834</v>
      </c>
      <c r="B735" s="184" t="s">
        <v>781</v>
      </c>
      <c r="C735" s="124" t="s">
        <v>1623</v>
      </c>
      <c r="D735" s="124" t="s">
        <v>1627</v>
      </c>
      <c r="E735" s="124" t="s">
        <v>39</v>
      </c>
      <c r="F735" s="124" t="s">
        <v>1436</v>
      </c>
      <c r="G735" s="135"/>
      <c r="H735" s="135"/>
      <c r="K735" s="135"/>
      <c r="L735" s="604">
        <v>0</v>
      </c>
      <c r="M735" s="604">
        <v>0</v>
      </c>
    </row>
    <row r="736" spans="1:13" ht="24">
      <c r="A736" s="152" t="s">
        <v>835</v>
      </c>
      <c r="B736" s="184" t="s">
        <v>781</v>
      </c>
      <c r="C736" s="124" t="s">
        <v>1623</v>
      </c>
      <c r="D736" s="124" t="s">
        <v>1627</v>
      </c>
      <c r="E736" s="124" t="s">
        <v>39</v>
      </c>
      <c r="F736" s="124" t="s">
        <v>1436</v>
      </c>
      <c r="G736" s="135">
        <v>0</v>
      </c>
      <c r="H736" s="135">
        <v>60</v>
      </c>
      <c r="K736" s="135">
        <v>59.3</v>
      </c>
      <c r="L736" s="604">
        <v>0</v>
      </c>
      <c r="M736" s="605">
        <f t="shared" si="49"/>
        <v>98.83333333333333</v>
      </c>
    </row>
    <row r="737" spans="1:13" ht="24">
      <c r="A737" s="152" t="s">
        <v>664</v>
      </c>
      <c r="B737" s="184" t="s">
        <v>781</v>
      </c>
      <c r="C737" s="124" t="s">
        <v>1623</v>
      </c>
      <c r="D737" s="124" t="s">
        <v>1627</v>
      </c>
      <c r="E737" s="124" t="s">
        <v>39</v>
      </c>
      <c r="F737" s="124" t="s">
        <v>1436</v>
      </c>
      <c r="G737" s="135">
        <v>0</v>
      </c>
      <c r="H737" s="135">
        <v>2907.9</v>
      </c>
      <c r="K737" s="135">
        <v>2907.9</v>
      </c>
      <c r="L737" s="604">
        <v>0</v>
      </c>
      <c r="M737" s="605">
        <f t="shared" si="49"/>
        <v>100</v>
      </c>
    </row>
    <row r="738" spans="1:13" ht="24">
      <c r="A738" s="130" t="s">
        <v>896</v>
      </c>
      <c r="B738" s="184" t="s">
        <v>781</v>
      </c>
      <c r="C738" s="124" t="s">
        <v>1623</v>
      </c>
      <c r="D738" s="124" t="s">
        <v>1627</v>
      </c>
      <c r="E738" s="124" t="s">
        <v>897</v>
      </c>
      <c r="F738" s="124"/>
      <c r="G738" s="132">
        <f>G739</f>
        <v>0</v>
      </c>
      <c r="H738" s="132">
        <f>H739</f>
        <v>621.3000000000001</v>
      </c>
      <c r="K738" s="132">
        <f>K739</f>
        <v>612.1</v>
      </c>
      <c r="L738" s="604">
        <v>0</v>
      </c>
      <c r="M738" s="605">
        <f t="shared" si="49"/>
        <v>98.5192338644777</v>
      </c>
    </row>
    <row r="739" spans="1:13" ht="24">
      <c r="A739" s="130" t="s">
        <v>1312</v>
      </c>
      <c r="B739" s="184" t="s">
        <v>781</v>
      </c>
      <c r="C739" s="124" t="s">
        <v>898</v>
      </c>
      <c r="D739" s="124" t="s">
        <v>1627</v>
      </c>
      <c r="E739" s="124" t="s">
        <v>897</v>
      </c>
      <c r="F739" s="124" t="s">
        <v>1704</v>
      </c>
      <c r="G739" s="132">
        <f>G740</f>
        <v>0</v>
      </c>
      <c r="H739" s="132">
        <f>H740</f>
        <v>621.3000000000001</v>
      </c>
      <c r="K739" s="132">
        <f>K740</f>
        <v>612.1</v>
      </c>
      <c r="L739" s="604">
        <v>0</v>
      </c>
      <c r="M739" s="605">
        <f t="shared" si="49"/>
        <v>98.5192338644777</v>
      </c>
    </row>
    <row r="740" spans="1:13" ht="24">
      <c r="A740" s="130" t="s">
        <v>621</v>
      </c>
      <c r="B740" s="184" t="s">
        <v>781</v>
      </c>
      <c r="C740" s="124" t="s">
        <v>1623</v>
      </c>
      <c r="D740" s="124" t="s">
        <v>1627</v>
      </c>
      <c r="E740" s="124" t="s">
        <v>897</v>
      </c>
      <c r="F740" s="124" t="s">
        <v>1619</v>
      </c>
      <c r="G740" s="138">
        <v>0</v>
      </c>
      <c r="H740" s="138">
        <f>50.7+570.6</f>
        <v>621.3000000000001</v>
      </c>
      <c r="K740" s="138">
        <v>612.1</v>
      </c>
      <c r="L740" s="604">
        <v>0</v>
      </c>
      <c r="M740" s="605">
        <f t="shared" si="49"/>
        <v>98.5192338644777</v>
      </c>
    </row>
    <row r="741" spans="1:13" ht="72">
      <c r="A741" s="134" t="s">
        <v>795</v>
      </c>
      <c r="B741" s="184" t="s">
        <v>781</v>
      </c>
      <c r="C741" s="124" t="s">
        <v>1623</v>
      </c>
      <c r="D741" s="124" t="s">
        <v>1627</v>
      </c>
      <c r="E741" s="124" t="s">
        <v>796</v>
      </c>
      <c r="F741" s="124"/>
      <c r="G741" s="132">
        <f>G742</f>
        <v>0</v>
      </c>
      <c r="H741" s="132">
        <f>H742</f>
        <v>522.4</v>
      </c>
      <c r="K741" s="132">
        <f>K742</f>
        <v>46.4</v>
      </c>
      <c r="L741" s="604">
        <v>0</v>
      </c>
      <c r="M741" s="605">
        <f t="shared" si="49"/>
        <v>8.88208269525268</v>
      </c>
    </row>
    <row r="742" spans="1:13" ht="24">
      <c r="A742" s="130" t="s">
        <v>1312</v>
      </c>
      <c r="B742" s="184" t="s">
        <v>781</v>
      </c>
      <c r="C742" s="124" t="s">
        <v>1623</v>
      </c>
      <c r="D742" s="124" t="s">
        <v>1627</v>
      </c>
      <c r="E742" s="124" t="s">
        <v>796</v>
      </c>
      <c r="F742" s="124" t="s">
        <v>1704</v>
      </c>
      <c r="G742" s="132">
        <f>G743</f>
        <v>0</v>
      </c>
      <c r="H742" s="132">
        <f>H743</f>
        <v>522.4</v>
      </c>
      <c r="K742" s="132">
        <f>K743</f>
        <v>46.4</v>
      </c>
      <c r="L742" s="604">
        <v>0</v>
      </c>
      <c r="M742" s="605">
        <f t="shared" si="49"/>
        <v>8.88208269525268</v>
      </c>
    </row>
    <row r="743" spans="1:13" ht="24">
      <c r="A743" s="130" t="s">
        <v>621</v>
      </c>
      <c r="B743" s="184" t="s">
        <v>781</v>
      </c>
      <c r="C743" s="124" t="s">
        <v>1623</v>
      </c>
      <c r="D743" s="124" t="s">
        <v>1627</v>
      </c>
      <c r="E743" s="124" t="s">
        <v>796</v>
      </c>
      <c r="F743" s="124" t="s">
        <v>1619</v>
      </c>
      <c r="G743" s="138">
        <v>0</v>
      </c>
      <c r="H743" s="138">
        <f>822.8-300.4</f>
        <v>522.4</v>
      </c>
      <c r="K743" s="138">
        <v>46.4</v>
      </c>
      <c r="L743" s="604">
        <v>0</v>
      </c>
      <c r="M743" s="605">
        <f t="shared" si="49"/>
        <v>8.88208269525268</v>
      </c>
    </row>
    <row r="744" spans="1:13" ht="48">
      <c r="A744" s="130" t="s">
        <v>1655</v>
      </c>
      <c r="B744" s="184" t="s">
        <v>781</v>
      </c>
      <c r="C744" s="124" t="s">
        <v>1623</v>
      </c>
      <c r="D744" s="124" t="s">
        <v>1627</v>
      </c>
      <c r="E744" s="124" t="s">
        <v>1656</v>
      </c>
      <c r="F744" s="124"/>
      <c r="G744" s="202">
        <f>G745</f>
        <v>0</v>
      </c>
      <c r="H744" s="202">
        <f>H745</f>
        <v>2089.4</v>
      </c>
      <c r="I744" s="132">
        <f>H744</f>
        <v>2089.4</v>
      </c>
      <c r="K744" s="202">
        <f>K745</f>
        <v>185.7</v>
      </c>
      <c r="L744" s="604">
        <v>0</v>
      </c>
      <c r="M744" s="605">
        <f t="shared" si="49"/>
        <v>8.887718962381545</v>
      </c>
    </row>
    <row r="745" spans="1:13" ht="24">
      <c r="A745" s="130" t="s">
        <v>1312</v>
      </c>
      <c r="B745" s="184" t="s">
        <v>781</v>
      </c>
      <c r="C745" s="124" t="s">
        <v>1623</v>
      </c>
      <c r="D745" s="124" t="s">
        <v>1627</v>
      </c>
      <c r="E745" s="124" t="s">
        <v>1656</v>
      </c>
      <c r="F745" s="124" t="s">
        <v>1704</v>
      </c>
      <c r="G745" s="202">
        <f>G746</f>
        <v>0</v>
      </c>
      <c r="H745" s="202">
        <f>H746</f>
        <v>2089.4</v>
      </c>
      <c r="I745" s="132">
        <f>H745</f>
        <v>2089.4</v>
      </c>
      <c r="K745" s="202">
        <f>K746</f>
        <v>185.7</v>
      </c>
      <c r="L745" s="604">
        <v>0</v>
      </c>
      <c r="M745" s="605">
        <f t="shared" si="49"/>
        <v>8.887718962381545</v>
      </c>
    </row>
    <row r="746" spans="1:13" ht="24">
      <c r="A746" s="130" t="s">
        <v>621</v>
      </c>
      <c r="B746" s="184" t="s">
        <v>781</v>
      </c>
      <c r="C746" s="124" t="s">
        <v>1623</v>
      </c>
      <c r="D746" s="124" t="s">
        <v>1627</v>
      </c>
      <c r="E746" s="124" t="s">
        <v>1656</v>
      </c>
      <c r="F746" s="124" t="s">
        <v>1619</v>
      </c>
      <c r="G746" s="135">
        <v>0</v>
      </c>
      <c r="H746" s="135">
        <v>2089.4</v>
      </c>
      <c r="I746" s="132">
        <f>H746</f>
        <v>2089.4</v>
      </c>
      <c r="K746" s="135">
        <v>185.7</v>
      </c>
      <c r="L746" s="604">
        <v>0</v>
      </c>
      <c r="M746" s="605">
        <f t="shared" si="49"/>
        <v>8.887718962381545</v>
      </c>
    </row>
    <row r="747" spans="1:13" ht="24">
      <c r="A747" s="141" t="s">
        <v>1044</v>
      </c>
      <c r="B747" s="184" t="s">
        <v>781</v>
      </c>
      <c r="C747" s="124" t="s">
        <v>1623</v>
      </c>
      <c r="D747" s="124" t="s">
        <v>1627</v>
      </c>
      <c r="E747" s="124" t="s">
        <v>1685</v>
      </c>
      <c r="F747" s="124"/>
      <c r="G747" s="132">
        <f aca="true" t="shared" si="50" ref="G747:H750">G748</f>
        <v>15000</v>
      </c>
      <c r="H747" s="132">
        <f t="shared" si="50"/>
        <v>19419.6</v>
      </c>
      <c r="K747" s="132">
        <f>K748</f>
        <v>18655.89</v>
      </c>
      <c r="L747" s="604">
        <f>K747/G747*100</f>
        <v>124.37259999999999</v>
      </c>
      <c r="M747" s="605">
        <f t="shared" si="49"/>
        <v>96.06732373478341</v>
      </c>
    </row>
    <row r="748" spans="1:13" ht="24">
      <c r="A748" s="130" t="s">
        <v>84</v>
      </c>
      <c r="B748" s="184" t="s">
        <v>781</v>
      </c>
      <c r="C748" s="124" t="s">
        <v>1623</v>
      </c>
      <c r="D748" s="124" t="s">
        <v>1627</v>
      </c>
      <c r="E748" s="124" t="s">
        <v>547</v>
      </c>
      <c r="F748" s="124"/>
      <c r="G748" s="132">
        <f t="shared" si="50"/>
        <v>15000</v>
      </c>
      <c r="H748" s="132">
        <f t="shared" si="50"/>
        <v>19419.6</v>
      </c>
      <c r="K748" s="132">
        <f>K749</f>
        <v>18655.89</v>
      </c>
      <c r="L748" s="604">
        <f>K748/G748*100</f>
        <v>124.37259999999999</v>
      </c>
      <c r="M748" s="605">
        <f t="shared" si="49"/>
        <v>96.06732373478341</v>
      </c>
    </row>
    <row r="749" spans="1:13" ht="15">
      <c r="A749" s="129" t="s">
        <v>755</v>
      </c>
      <c r="B749" s="184" t="s">
        <v>781</v>
      </c>
      <c r="C749" s="124" t="s">
        <v>1623</v>
      </c>
      <c r="D749" s="124" t="s">
        <v>1627</v>
      </c>
      <c r="E749" s="124" t="s">
        <v>1461</v>
      </c>
      <c r="F749" s="124"/>
      <c r="G749" s="132">
        <f t="shared" si="50"/>
        <v>15000</v>
      </c>
      <c r="H749" s="132">
        <f t="shared" si="50"/>
        <v>19419.6</v>
      </c>
      <c r="K749" s="132">
        <f>K750</f>
        <v>18655.89</v>
      </c>
      <c r="L749" s="604">
        <f>K749/G749*100</f>
        <v>124.37259999999999</v>
      </c>
      <c r="M749" s="605">
        <f t="shared" si="49"/>
        <v>96.06732373478341</v>
      </c>
    </row>
    <row r="750" spans="1:13" ht="24">
      <c r="A750" s="129" t="s">
        <v>752</v>
      </c>
      <c r="B750" s="184" t="s">
        <v>781</v>
      </c>
      <c r="C750" s="124" t="s">
        <v>1623</v>
      </c>
      <c r="D750" s="124" t="s">
        <v>1627</v>
      </c>
      <c r="E750" s="124" t="s">
        <v>1461</v>
      </c>
      <c r="F750" s="124" t="s">
        <v>751</v>
      </c>
      <c r="G750" s="132">
        <f t="shared" si="50"/>
        <v>15000</v>
      </c>
      <c r="H750" s="132">
        <f t="shared" si="50"/>
        <v>19419.6</v>
      </c>
      <c r="K750" s="132">
        <f>K751</f>
        <v>18655.89</v>
      </c>
      <c r="L750" s="604">
        <f>K750/G750*100</f>
        <v>124.37259999999999</v>
      </c>
      <c r="M750" s="605">
        <f t="shared" si="49"/>
        <v>96.06732373478341</v>
      </c>
    </row>
    <row r="751" spans="1:13" ht="24">
      <c r="A751" s="134" t="s">
        <v>18</v>
      </c>
      <c r="B751" s="184" t="s">
        <v>781</v>
      </c>
      <c r="C751" s="124" t="s">
        <v>1623</v>
      </c>
      <c r="D751" s="124" t="s">
        <v>1627</v>
      </c>
      <c r="E751" s="124" t="s">
        <v>1461</v>
      </c>
      <c r="F751" s="124" t="s">
        <v>1436</v>
      </c>
      <c r="G751" s="135">
        <f>15000</f>
        <v>15000</v>
      </c>
      <c r="H751" s="135">
        <f>15000+850+H752+H753</f>
        <v>19419.6</v>
      </c>
      <c r="K751" s="135">
        <f>15000+850+K752+K753</f>
        <v>18655.89</v>
      </c>
      <c r="L751" s="604">
        <f>K751/G751*100</f>
        <v>124.37259999999999</v>
      </c>
      <c r="M751" s="605">
        <f t="shared" si="49"/>
        <v>96.06732373478341</v>
      </c>
    </row>
    <row r="752" spans="1:13" ht="144">
      <c r="A752" s="153" t="s">
        <v>797</v>
      </c>
      <c r="B752" s="184" t="s">
        <v>781</v>
      </c>
      <c r="C752" s="124" t="s">
        <v>1623</v>
      </c>
      <c r="D752" s="124" t="s">
        <v>1627</v>
      </c>
      <c r="E752" s="124" t="s">
        <v>1461</v>
      </c>
      <c r="F752" s="124" t="s">
        <v>1436</v>
      </c>
      <c r="G752" s="135">
        <v>0</v>
      </c>
      <c r="H752" s="135">
        <v>27.6</v>
      </c>
      <c r="K752" s="135">
        <v>8.29</v>
      </c>
      <c r="L752" s="604">
        <v>0</v>
      </c>
      <c r="M752" s="605">
        <f t="shared" si="49"/>
        <v>30.03623188405797</v>
      </c>
    </row>
    <row r="753" spans="1:13" ht="48">
      <c r="A753" s="152" t="s">
        <v>1375</v>
      </c>
      <c r="B753" s="184" t="s">
        <v>781</v>
      </c>
      <c r="C753" s="124" t="s">
        <v>1623</v>
      </c>
      <c r="D753" s="124" t="s">
        <v>1627</v>
      </c>
      <c r="E753" s="124" t="s">
        <v>1461</v>
      </c>
      <c r="F753" s="124" t="s">
        <v>1436</v>
      </c>
      <c r="G753" s="135">
        <v>0</v>
      </c>
      <c r="H753" s="135">
        <v>3542</v>
      </c>
      <c r="K753" s="135">
        <v>2797.6</v>
      </c>
      <c r="L753" s="604">
        <v>0</v>
      </c>
      <c r="M753" s="605">
        <f t="shared" si="49"/>
        <v>78.98362507058158</v>
      </c>
    </row>
    <row r="754" spans="1:13" ht="24">
      <c r="A754" s="141" t="s">
        <v>1458</v>
      </c>
      <c r="B754" s="184" t="s">
        <v>781</v>
      </c>
      <c r="C754" s="124" t="s">
        <v>1623</v>
      </c>
      <c r="D754" s="124" t="s">
        <v>1627</v>
      </c>
      <c r="E754" s="124" t="s">
        <v>1265</v>
      </c>
      <c r="F754" s="124"/>
      <c r="G754" s="132">
        <f aca="true" t="shared" si="51" ref="G754:H756">G755</f>
        <v>1620</v>
      </c>
      <c r="H754" s="132">
        <f t="shared" si="51"/>
        <v>4780.7</v>
      </c>
      <c r="K754" s="132">
        <f>K755</f>
        <v>4522.3</v>
      </c>
      <c r="L754" s="604">
        <f>K754/G754*100</f>
        <v>279.15432098765433</v>
      </c>
      <c r="M754" s="605">
        <f t="shared" si="49"/>
        <v>94.594933796306</v>
      </c>
    </row>
    <row r="755" spans="1:13" ht="24">
      <c r="A755" s="134" t="s">
        <v>967</v>
      </c>
      <c r="B755" s="184" t="s">
        <v>781</v>
      </c>
      <c r="C755" s="124" t="s">
        <v>1623</v>
      </c>
      <c r="D755" s="124" t="s">
        <v>1627</v>
      </c>
      <c r="E755" s="124" t="s">
        <v>1272</v>
      </c>
      <c r="F755" s="124"/>
      <c r="G755" s="132">
        <f t="shared" si="51"/>
        <v>1620</v>
      </c>
      <c r="H755" s="132">
        <f t="shared" si="51"/>
        <v>4780.7</v>
      </c>
      <c r="K755" s="132">
        <f>K756</f>
        <v>4522.3</v>
      </c>
      <c r="L755" s="604">
        <f>K755/G755*100</f>
        <v>279.15432098765433</v>
      </c>
      <c r="M755" s="605">
        <f t="shared" si="49"/>
        <v>94.594933796306</v>
      </c>
    </row>
    <row r="756" spans="1:13" ht="24">
      <c r="A756" s="129" t="s">
        <v>752</v>
      </c>
      <c r="B756" s="184" t="s">
        <v>781</v>
      </c>
      <c r="C756" s="124" t="s">
        <v>1623</v>
      </c>
      <c r="D756" s="124" t="s">
        <v>1627</v>
      </c>
      <c r="E756" s="124" t="s">
        <v>1273</v>
      </c>
      <c r="F756" s="124" t="s">
        <v>751</v>
      </c>
      <c r="G756" s="132">
        <f t="shared" si="51"/>
        <v>1620</v>
      </c>
      <c r="H756" s="132">
        <f t="shared" si="51"/>
        <v>4780.7</v>
      </c>
      <c r="K756" s="132">
        <f>K757</f>
        <v>4522.3</v>
      </c>
      <c r="L756" s="604">
        <f>K756/G756*100</f>
        <v>279.15432098765433</v>
      </c>
      <c r="M756" s="605">
        <f t="shared" si="49"/>
        <v>94.594933796306</v>
      </c>
    </row>
    <row r="757" spans="1:13" ht="24">
      <c r="A757" s="134" t="s">
        <v>1435</v>
      </c>
      <c r="B757" s="184" t="s">
        <v>781</v>
      </c>
      <c r="C757" s="124" t="s">
        <v>1623</v>
      </c>
      <c r="D757" s="124" t="s">
        <v>1627</v>
      </c>
      <c r="E757" s="124" t="s">
        <v>1273</v>
      </c>
      <c r="F757" s="124" t="s">
        <v>1436</v>
      </c>
      <c r="G757" s="135">
        <f>1620</f>
        <v>1620</v>
      </c>
      <c r="H757" s="135">
        <f>1620+100+1265+1795.7</f>
        <v>4780.7</v>
      </c>
      <c r="K757" s="135">
        <v>4522.3</v>
      </c>
      <c r="L757" s="604">
        <f>K757/G757*100</f>
        <v>279.15432098765433</v>
      </c>
      <c r="M757" s="605">
        <f t="shared" si="49"/>
        <v>94.594933796306</v>
      </c>
    </row>
    <row r="758" spans="1:13" ht="24">
      <c r="A758" s="143" t="s">
        <v>433</v>
      </c>
      <c r="B758" s="184" t="s">
        <v>781</v>
      </c>
      <c r="C758" s="124" t="s">
        <v>1623</v>
      </c>
      <c r="D758" s="124" t="s">
        <v>1627</v>
      </c>
      <c r="E758" s="124" t="s">
        <v>548</v>
      </c>
      <c r="F758" s="124"/>
      <c r="G758" s="154">
        <f aca="true" t="shared" si="52" ref="G758:H760">G759</f>
        <v>0</v>
      </c>
      <c r="H758" s="154">
        <f t="shared" si="52"/>
        <v>6000</v>
      </c>
      <c r="K758" s="154">
        <f>K759</f>
        <v>870</v>
      </c>
      <c r="L758" s="604">
        <v>0</v>
      </c>
      <c r="M758" s="605">
        <f t="shared" si="49"/>
        <v>14.499999999999998</v>
      </c>
    </row>
    <row r="759" spans="1:13" ht="36">
      <c r="A759" s="129" t="s">
        <v>1352</v>
      </c>
      <c r="B759" s="184" t="s">
        <v>781</v>
      </c>
      <c r="C759" s="124" t="s">
        <v>1623</v>
      </c>
      <c r="D759" s="124" t="s">
        <v>1627</v>
      </c>
      <c r="E759" s="124" t="s">
        <v>1372</v>
      </c>
      <c r="F759" s="124"/>
      <c r="G759" s="154">
        <f t="shared" si="52"/>
        <v>0</v>
      </c>
      <c r="H759" s="154">
        <f t="shared" si="52"/>
        <v>6000</v>
      </c>
      <c r="K759" s="154">
        <f>K760</f>
        <v>870</v>
      </c>
      <c r="L759" s="604">
        <v>0</v>
      </c>
      <c r="M759" s="605">
        <f t="shared" si="49"/>
        <v>14.499999999999998</v>
      </c>
    </row>
    <row r="760" spans="1:13" ht="24">
      <c r="A760" s="130" t="s">
        <v>1312</v>
      </c>
      <c r="B760" s="184" t="s">
        <v>781</v>
      </c>
      <c r="C760" s="124" t="s">
        <v>1623</v>
      </c>
      <c r="D760" s="124" t="s">
        <v>1627</v>
      </c>
      <c r="E760" s="124" t="s">
        <v>1353</v>
      </c>
      <c r="F760" s="124" t="s">
        <v>1704</v>
      </c>
      <c r="G760" s="154">
        <f t="shared" si="52"/>
        <v>0</v>
      </c>
      <c r="H760" s="154">
        <f t="shared" si="52"/>
        <v>6000</v>
      </c>
      <c r="K760" s="154">
        <f>K761</f>
        <v>870</v>
      </c>
      <c r="L760" s="604">
        <v>0</v>
      </c>
      <c r="M760" s="605">
        <f t="shared" si="49"/>
        <v>14.499999999999998</v>
      </c>
    </row>
    <row r="761" spans="1:13" ht="24">
      <c r="A761" s="130" t="s">
        <v>1406</v>
      </c>
      <c r="B761" s="184" t="s">
        <v>781</v>
      </c>
      <c r="C761" s="124" t="s">
        <v>1623</v>
      </c>
      <c r="D761" s="124" t="s">
        <v>1627</v>
      </c>
      <c r="E761" s="124" t="s">
        <v>1353</v>
      </c>
      <c r="F761" s="124" t="s">
        <v>1619</v>
      </c>
      <c r="G761" s="135">
        <v>0</v>
      </c>
      <c r="H761" s="135">
        <v>6000</v>
      </c>
      <c r="K761" s="135">
        <v>870</v>
      </c>
      <c r="L761" s="604">
        <v>0</v>
      </c>
      <c r="M761" s="605">
        <f t="shared" si="49"/>
        <v>14.499999999999998</v>
      </c>
    </row>
    <row r="762" spans="1:13" ht="24">
      <c r="A762" s="141" t="s">
        <v>431</v>
      </c>
      <c r="B762" s="184" t="s">
        <v>781</v>
      </c>
      <c r="C762" s="124" t="s">
        <v>1623</v>
      </c>
      <c r="D762" s="124" t="s">
        <v>1627</v>
      </c>
      <c r="E762" s="124" t="s">
        <v>430</v>
      </c>
      <c r="F762" s="124"/>
      <c r="G762" s="132">
        <f aca="true" t="shared" si="53" ref="G762:H765">G763</f>
        <v>87000</v>
      </c>
      <c r="H762" s="132">
        <f t="shared" si="53"/>
        <v>95194.8</v>
      </c>
      <c r="K762" s="132">
        <f>K763</f>
        <v>93080.2</v>
      </c>
      <c r="L762" s="604">
        <f>K762/G762*100</f>
        <v>106.98873563218389</v>
      </c>
      <c r="M762" s="605">
        <f t="shared" si="49"/>
        <v>97.77866017891733</v>
      </c>
    </row>
    <row r="763" spans="1:13" ht="24">
      <c r="A763" s="129" t="s">
        <v>798</v>
      </c>
      <c r="B763" s="184" t="s">
        <v>781</v>
      </c>
      <c r="C763" s="124" t="s">
        <v>1623</v>
      </c>
      <c r="D763" s="124" t="s">
        <v>1627</v>
      </c>
      <c r="E763" s="124" t="s">
        <v>799</v>
      </c>
      <c r="F763" s="124"/>
      <c r="G763" s="132">
        <f t="shared" si="53"/>
        <v>87000</v>
      </c>
      <c r="H763" s="132">
        <f t="shared" si="53"/>
        <v>95194.8</v>
      </c>
      <c r="K763" s="132">
        <f>K764</f>
        <v>93080.2</v>
      </c>
      <c r="L763" s="604">
        <f>K763/G763*100</f>
        <v>106.98873563218389</v>
      </c>
      <c r="M763" s="605">
        <f t="shared" si="49"/>
        <v>97.77866017891733</v>
      </c>
    </row>
    <row r="764" spans="1:13" ht="15">
      <c r="A764" s="134" t="s">
        <v>1237</v>
      </c>
      <c r="B764" s="184" t="s">
        <v>781</v>
      </c>
      <c r="C764" s="124" t="s">
        <v>1623</v>
      </c>
      <c r="D764" s="124" t="s">
        <v>1627</v>
      </c>
      <c r="E764" s="124" t="s">
        <v>800</v>
      </c>
      <c r="F764" s="124"/>
      <c r="G764" s="132">
        <f t="shared" si="53"/>
        <v>87000</v>
      </c>
      <c r="H764" s="132">
        <f t="shared" si="53"/>
        <v>95194.8</v>
      </c>
      <c r="K764" s="132">
        <f>K765</f>
        <v>93080.2</v>
      </c>
      <c r="L764" s="604">
        <f>K764/G764*100</f>
        <v>106.98873563218389</v>
      </c>
      <c r="M764" s="605">
        <f t="shared" si="49"/>
        <v>97.77866017891733</v>
      </c>
    </row>
    <row r="765" spans="1:13" ht="24">
      <c r="A765" s="130" t="s">
        <v>1312</v>
      </c>
      <c r="B765" s="184" t="s">
        <v>781</v>
      </c>
      <c r="C765" s="124" t="s">
        <v>1623</v>
      </c>
      <c r="D765" s="124" t="s">
        <v>1627</v>
      </c>
      <c r="E765" s="124" t="s">
        <v>800</v>
      </c>
      <c r="F765" s="124" t="s">
        <v>1704</v>
      </c>
      <c r="G765" s="132">
        <f t="shared" si="53"/>
        <v>87000</v>
      </c>
      <c r="H765" s="132">
        <f t="shared" si="53"/>
        <v>95194.8</v>
      </c>
      <c r="K765" s="132">
        <f>K766</f>
        <v>93080.2</v>
      </c>
      <c r="L765" s="604">
        <f>K765/G765*100</f>
        <v>106.98873563218389</v>
      </c>
      <c r="M765" s="605">
        <f t="shared" si="49"/>
        <v>97.77866017891733</v>
      </c>
    </row>
    <row r="766" spans="1:13" ht="24">
      <c r="A766" s="130" t="s">
        <v>1406</v>
      </c>
      <c r="B766" s="184" t="s">
        <v>781</v>
      </c>
      <c r="C766" s="124" t="s">
        <v>1623</v>
      </c>
      <c r="D766" s="124" t="s">
        <v>1627</v>
      </c>
      <c r="E766" s="124" t="s">
        <v>800</v>
      </c>
      <c r="F766" s="124" t="s">
        <v>1619</v>
      </c>
      <c r="G766" s="135">
        <f>66000+21000</f>
        <v>87000</v>
      </c>
      <c r="H766" s="135">
        <f>66000+21000-1178+9372.8</f>
        <v>95194.8</v>
      </c>
      <c r="K766" s="135">
        <v>93080.2</v>
      </c>
      <c r="L766" s="604">
        <f>K766/G766*100</f>
        <v>106.98873563218389</v>
      </c>
      <c r="M766" s="605">
        <f t="shared" si="49"/>
        <v>97.77866017891733</v>
      </c>
    </row>
    <row r="767" spans="1:13" ht="24">
      <c r="A767" s="130" t="s">
        <v>1052</v>
      </c>
      <c r="B767" s="184" t="s">
        <v>781</v>
      </c>
      <c r="C767" s="124" t="s">
        <v>1623</v>
      </c>
      <c r="D767" s="124" t="s">
        <v>1627</v>
      </c>
      <c r="E767" s="124" t="s">
        <v>1053</v>
      </c>
      <c r="F767" s="124"/>
      <c r="G767" s="132">
        <f>G768</f>
        <v>0</v>
      </c>
      <c r="H767" s="132">
        <f>H768</f>
        <v>2000</v>
      </c>
      <c r="K767" s="132">
        <f>K768</f>
        <v>1900</v>
      </c>
      <c r="L767" s="604">
        <v>0</v>
      </c>
      <c r="M767" s="605">
        <f t="shared" si="49"/>
        <v>95</v>
      </c>
    </row>
    <row r="768" spans="1:13" ht="24">
      <c r="A768" s="130" t="s">
        <v>1312</v>
      </c>
      <c r="B768" s="184" t="s">
        <v>781</v>
      </c>
      <c r="C768" s="124" t="s">
        <v>1623</v>
      </c>
      <c r="D768" s="124" t="s">
        <v>1627</v>
      </c>
      <c r="E768" s="124" t="s">
        <v>1053</v>
      </c>
      <c r="F768" s="124" t="s">
        <v>1704</v>
      </c>
      <c r="G768" s="132">
        <f>G769</f>
        <v>0</v>
      </c>
      <c r="H768" s="132">
        <f>H769</f>
        <v>2000</v>
      </c>
      <c r="K768" s="132">
        <f>K769</f>
        <v>1900</v>
      </c>
      <c r="L768" s="604">
        <v>0</v>
      </c>
      <c r="M768" s="605">
        <f t="shared" si="49"/>
        <v>95</v>
      </c>
    </row>
    <row r="769" spans="1:13" ht="24">
      <c r="A769" s="130" t="s">
        <v>1406</v>
      </c>
      <c r="B769" s="184" t="s">
        <v>781</v>
      </c>
      <c r="C769" s="124" t="s">
        <v>1623</v>
      </c>
      <c r="D769" s="124" t="s">
        <v>1627</v>
      </c>
      <c r="E769" s="124" t="s">
        <v>1053</v>
      </c>
      <c r="F769" s="124" t="s">
        <v>1619</v>
      </c>
      <c r="G769" s="135">
        <v>0</v>
      </c>
      <c r="H769" s="135">
        <v>2000</v>
      </c>
      <c r="K769" s="135">
        <v>1900</v>
      </c>
      <c r="L769" s="604">
        <v>0</v>
      </c>
      <c r="M769" s="605">
        <f t="shared" si="49"/>
        <v>95</v>
      </c>
    </row>
    <row r="770" spans="1:13" ht="15.75">
      <c r="A770" s="190" t="s">
        <v>822</v>
      </c>
      <c r="B770" s="184" t="s">
        <v>781</v>
      </c>
      <c r="C770" s="124" t="s">
        <v>1622</v>
      </c>
      <c r="D770" s="124"/>
      <c r="E770" s="124"/>
      <c r="F770" s="147"/>
      <c r="G770" s="1">
        <f>G771</f>
        <v>3500</v>
      </c>
      <c r="H770" s="1">
        <f>H771</f>
        <v>10196.4</v>
      </c>
      <c r="K770" s="1">
        <f>K771</f>
        <v>9751.199999999999</v>
      </c>
      <c r="L770" s="604">
        <f aca="true" t="shared" si="54" ref="L770:L778">K770/G770*100</f>
        <v>278.60571428571427</v>
      </c>
      <c r="M770" s="605">
        <f t="shared" si="49"/>
        <v>95.63375308932564</v>
      </c>
    </row>
    <row r="771" spans="1:13" ht="24">
      <c r="A771" s="133" t="s">
        <v>1605</v>
      </c>
      <c r="B771" s="184" t="s">
        <v>781</v>
      </c>
      <c r="C771" s="124" t="s">
        <v>1622</v>
      </c>
      <c r="D771" s="124" t="s">
        <v>1627</v>
      </c>
      <c r="E771" s="147"/>
      <c r="F771" s="147"/>
      <c r="G771" s="132">
        <f>G772</f>
        <v>3500</v>
      </c>
      <c r="H771" s="132">
        <f>H772</f>
        <v>10196.4</v>
      </c>
      <c r="K771" s="132">
        <f>K772</f>
        <v>9751.199999999999</v>
      </c>
      <c r="L771" s="604">
        <f t="shared" si="54"/>
        <v>278.60571428571427</v>
      </c>
      <c r="M771" s="605">
        <f t="shared" si="49"/>
        <v>95.63375308932564</v>
      </c>
    </row>
    <row r="772" spans="1:13" ht="24">
      <c r="A772" s="137" t="s">
        <v>40</v>
      </c>
      <c r="B772" s="184" t="s">
        <v>781</v>
      </c>
      <c r="C772" s="124" t="s">
        <v>1622</v>
      </c>
      <c r="D772" s="124" t="s">
        <v>1627</v>
      </c>
      <c r="E772" s="124" t="s">
        <v>1725</v>
      </c>
      <c r="F772" s="147"/>
      <c r="G772" s="132">
        <f>G773+G783+G780</f>
        <v>3500</v>
      </c>
      <c r="H772" s="132">
        <f>H773+H783+H780</f>
        <v>10196.4</v>
      </c>
      <c r="K772" s="132">
        <f>K773+K783+K780</f>
        <v>9751.199999999999</v>
      </c>
      <c r="L772" s="604">
        <f t="shared" si="54"/>
        <v>278.60571428571427</v>
      </c>
      <c r="M772" s="605">
        <f t="shared" si="49"/>
        <v>95.63375308932564</v>
      </c>
    </row>
    <row r="773" spans="1:13" ht="24">
      <c r="A773" s="129" t="s">
        <v>41</v>
      </c>
      <c r="B773" s="184" t="s">
        <v>781</v>
      </c>
      <c r="C773" s="124" t="s">
        <v>1622</v>
      </c>
      <c r="D773" s="124" t="s">
        <v>1627</v>
      </c>
      <c r="E773" s="124" t="s">
        <v>42</v>
      </c>
      <c r="F773" s="147"/>
      <c r="G773" s="132">
        <f>G774+G778+G776</f>
        <v>1880</v>
      </c>
      <c r="H773" s="132">
        <f>H774+H778+H776</f>
        <v>4800</v>
      </c>
      <c r="K773" s="132">
        <f>K774+K778+K776</f>
        <v>4395.2</v>
      </c>
      <c r="L773" s="604">
        <f t="shared" si="54"/>
        <v>233.78723404255317</v>
      </c>
      <c r="M773" s="605">
        <f t="shared" si="49"/>
        <v>91.56666666666666</v>
      </c>
    </row>
    <row r="774" spans="1:13" ht="24">
      <c r="A774" s="134" t="s">
        <v>1435</v>
      </c>
      <c r="B774" s="184" t="s">
        <v>781</v>
      </c>
      <c r="C774" s="124" t="s">
        <v>1622</v>
      </c>
      <c r="D774" s="124" t="s">
        <v>1627</v>
      </c>
      <c r="E774" s="124" t="s">
        <v>44</v>
      </c>
      <c r="F774" s="124" t="s">
        <v>751</v>
      </c>
      <c r="G774" s="132">
        <f>G775</f>
        <v>580</v>
      </c>
      <c r="H774" s="132">
        <f>H775</f>
        <v>3600</v>
      </c>
      <c r="K774" s="132">
        <f>K775</f>
        <v>3425.8</v>
      </c>
      <c r="L774" s="604">
        <f t="shared" si="54"/>
        <v>590.6551724137931</v>
      </c>
      <c r="M774" s="605">
        <f t="shared" si="49"/>
        <v>95.16111111111113</v>
      </c>
    </row>
    <row r="775" spans="1:13" ht="24">
      <c r="A775" s="134" t="s">
        <v>1434</v>
      </c>
      <c r="B775" s="184" t="s">
        <v>781</v>
      </c>
      <c r="C775" s="124" t="s">
        <v>1622</v>
      </c>
      <c r="D775" s="124" t="s">
        <v>1627</v>
      </c>
      <c r="E775" s="124" t="s">
        <v>44</v>
      </c>
      <c r="F775" s="124" t="s">
        <v>1436</v>
      </c>
      <c r="G775" s="135">
        <f>580</f>
        <v>580</v>
      </c>
      <c r="H775" s="135">
        <f>580+1420+1500+100</f>
        <v>3600</v>
      </c>
      <c r="K775" s="135">
        <v>3425.8</v>
      </c>
      <c r="L775" s="604">
        <f t="shared" si="54"/>
        <v>590.6551724137931</v>
      </c>
      <c r="M775" s="605">
        <f t="shared" si="49"/>
        <v>95.16111111111113</v>
      </c>
    </row>
    <row r="776" spans="1:13" ht="24">
      <c r="A776" s="130" t="s">
        <v>621</v>
      </c>
      <c r="B776" s="184" t="s">
        <v>781</v>
      </c>
      <c r="C776" s="124" t="s">
        <v>1622</v>
      </c>
      <c r="D776" s="124" t="s">
        <v>1627</v>
      </c>
      <c r="E776" s="124" t="s">
        <v>43</v>
      </c>
      <c r="F776" s="124" t="s">
        <v>1704</v>
      </c>
      <c r="G776" s="132">
        <f>G777</f>
        <v>1100</v>
      </c>
      <c r="H776" s="132">
        <f>H777</f>
        <v>1000</v>
      </c>
      <c r="K776" s="132">
        <f>K777</f>
        <v>893.8</v>
      </c>
      <c r="L776" s="604">
        <f t="shared" si="54"/>
        <v>81.25454545454545</v>
      </c>
      <c r="M776" s="605">
        <f t="shared" si="49"/>
        <v>89.38</v>
      </c>
    </row>
    <row r="777" spans="1:13" ht="24">
      <c r="A777" s="130" t="s">
        <v>703</v>
      </c>
      <c r="B777" s="184" t="s">
        <v>781</v>
      </c>
      <c r="C777" s="124" t="s">
        <v>1622</v>
      </c>
      <c r="D777" s="124" t="s">
        <v>1627</v>
      </c>
      <c r="E777" s="124" t="s">
        <v>43</v>
      </c>
      <c r="F777" s="124" t="s">
        <v>1619</v>
      </c>
      <c r="G777" s="135">
        <f>1100</f>
        <v>1100</v>
      </c>
      <c r="H777" s="135">
        <f>1100-100</f>
        <v>1000</v>
      </c>
      <c r="K777" s="135">
        <v>893.8</v>
      </c>
      <c r="L777" s="604">
        <f t="shared" si="54"/>
        <v>81.25454545454545</v>
      </c>
      <c r="M777" s="605">
        <f t="shared" si="49"/>
        <v>89.38</v>
      </c>
    </row>
    <row r="778" spans="1:13" ht="24">
      <c r="A778" s="134" t="s">
        <v>1242</v>
      </c>
      <c r="B778" s="184" t="s">
        <v>781</v>
      </c>
      <c r="C778" s="124" t="s">
        <v>1622</v>
      </c>
      <c r="D778" s="124" t="s">
        <v>1627</v>
      </c>
      <c r="E778" s="124" t="s">
        <v>43</v>
      </c>
      <c r="F778" s="124" t="s">
        <v>911</v>
      </c>
      <c r="G778" s="132">
        <v>200</v>
      </c>
      <c r="H778" s="132">
        <v>200</v>
      </c>
      <c r="K778" s="132">
        <f>K779</f>
        <v>75.6</v>
      </c>
      <c r="L778" s="604">
        <f t="shared" si="54"/>
        <v>37.8</v>
      </c>
      <c r="M778" s="605">
        <f t="shared" si="49"/>
        <v>37.8</v>
      </c>
    </row>
    <row r="779" spans="1:13" ht="24">
      <c r="A779" s="134" t="s">
        <v>912</v>
      </c>
      <c r="B779" s="184" t="s">
        <v>781</v>
      </c>
      <c r="C779" s="124" t="s">
        <v>1622</v>
      </c>
      <c r="D779" s="124" t="s">
        <v>1627</v>
      </c>
      <c r="E779" s="124" t="s">
        <v>43</v>
      </c>
      <c r="F779" s="124" t="s">
        <v>913</v>
      </c>
      <c r="G779" s="135">
        <v>200</v>
      </c>
      <c r="H779" s="135">
        <v>200</v>
      </c>
      <c r="K779" s="135">
        <v>75.6</v>
      </c>
      <c r="L779" s="604">
        <f aca="true" t="shared" si="55" ref="L779:L842">K779/G779*100</f>
        <v>37.8</v>
      </c>
      <c r="M779" s="605">
        <f t="shared" si="49"/>
        <v>37.8</v>
      </c>
    </row>
    <row r="780" spans="1:13" ht="24">
      <c r="A780" s="136" t="s">
        <v>149</v>
      </c>
      <c r="B780" s="184" t="s">
        <v>781</v>
      </c>
      <c r="C780" s="124" t="s">
        <v>1622</v>
      </c>
      <c r="D780" s="124" t="s">
        <v>1627</v>
      </c>
      <c r="E780" s="124" t="s">
        <v>1724</v>
      </c>
      <c r="F780" s="124"/>
      <c r="G780" s="132">
        <f>G781</f>
        <v>120</v>
      </c>
      <c r="H780" s="132">
        <f>H781</f>
        <v>120</v>
      </c>
      <c r="K780" s="132">
        <f>K781</f>
        <v>117.3</v>
      </c>
      <c r="L780" s="604">
        <f t="shared" si="55"/>
        <v>97.74999999999999</v>
      </c>
      <c r="M780" s="605">
        <f t="shared" si="49"/>
        <v>97.74999999999999</v>
      </c>
    </row>
    <row r="781" spans="1:13" ht="15">
      <c r="A781" s="130" t="s">
        <v>621</v>
      </c>
      <c r="B781" s="184" t="s">
        <v>781</v>
      </c>
      <c r="C781" s="124" t="s">
        <v>1622</v>
      </c>
      <c r="D781" s="124" t="s">
        <v>1627</v>
      </c>
      <c r="E781" s="124" t="s">
        <v>150</v>
      </c>
      <c r="F781" s="124" t="s">
        <v>1704</v>
      </c>
      <c r="G781" s="132">
        <f>G782</f>
        <v>120</v>
      </c>
      <c r="H781" s="132">
        <f>H782</f>
        <v>120</v>
      </c>
      <c r="K781" s="132">
        <f>K782</f>
        <v>117.3</v>
      </c>
      <c r="L781" s="604">
        <f t="shared" si="55"/>
        <v>97.74999999999999</v>
      </c>
      <c r="M781" s="605">
        <f aca="true" t="shared" si="56" ref="M781:M844">K781/H781*100</f>
        <v>97.74999999999999</v>
      </c>
    </row>
    <row r="782" spans="1:13" ht="15">
      <c r="A782" s="130" t="s">
        <v>703</v>
      </c>
      <c r="B782" s="184" t="s">
        <v>781</v>
      </c>
      <c r="C782" s="124" t="s">
        <v>1622</v>
      </c>
      <c r="D782" s="124" t="s">
        <v>1627</v>
      </c>
      <c r="E782" s="124" t="s">
        <v>150</v>
      </c>
      <c r="F782" s="124" t="s">
        <v>1619</v>
      </c>
      <c r="G782" s="135">
        <v>120</v>
      </c>
      <c r="H782" s="135">
        <v>120</v>
      </c>
      <c r="K782" s="135">
        <v>117.3</v>
      </c>
      <c r="L782" s="604">
        <f t="shared" si="55"/>
        <v>97.74999999999999</v>
      </c>
      <c r="M782" s="605">
        <f t="shared" si="56"/>
        <v>97.74999999999999</v>
      </c>
    </row>
    <row r="783" spans="1:13" ht="48">
      <c r="A783" s="129" t="s">
        <v>707</v>
      </c>
      <c r="B783" s="184" t="s">
        <v>781</v>
      </c>
      <c r="C783" s="124" t="s">
        <v>1622</v>
      </c>
      <c r="D783" s="124" t="s">
        <v>1627</v>
      </c>
      <c r="E783" s="124" t="s">
        <v>708</v>
      </c>
      <c r="F783" s="147"/>
      <c r="G783" s="132">
        <f>G784+G786+G788</f>
        <v>1500</v>
      </c>
      <c r="H783" s="132">
        <f>H784+H786+H788</f>
        <v>5276.4</v>
      </c>
      <c r="K783" s="132">
        <f>K784+K786+K788</f>
        <v>5238.7</v>
      </c>
      <c r="L783" s="604">
        <f t="shared" si="55"/>
        <v>349.24666666666667</v>
      </c>
      <c r="M783" s="605">
        <f t="shared" si="56"/>
        <v>99.28549768781745</v>
      </c>
    </row>
    <row r="784" spans="1:13" ht="15">
      <c r="A784" s="134" t="s">
        <v>1435</v>
      </c>
      <c r="B784" s="184" t="s">
        <v>781</v>
      </c>
      <c r="C784" s="124" t="s">
        <v>1622</v>
      </c>
      <c r="D784" s="124" t="s">
        <v>1627</v>
      </c>
      <c r="E784" s="124" t="s">
        <v>710</v>
      </c>
      <c r="F784" s="124" t="s">
        <v>751</v>
      </c>
      <c r="G784" s="132">
        <f>G785</f>
        <v>1000</v>
      </c>
      <c r="H784" s="132">
        <f>H785</f>
        <v>4776.4</v>
      </c>
      <c r="K784" s="132">
        <f>K785</f>
        <v>4776.4</v>
      </c>
      <c r="L784" s="604">
        <f t="shared" si="55"/>
        <v>477.64</v>
      </c>
      <c r="M784" s="605">
        <f t="shared" si="56"/>
        <v>100</v>
      </c>
    </row>
    <row r="785" spans="1:13" ht="24">
      <c r="A785" s="134" t="s">
        <v>1434</v>
      </c>
      <c r="B785" s="184" t="s">
        <v>781</v>
      </c>
      <c r="C785" s="124" t="s">
        <v>1622</v>
      </c>
      <c r="D785" s="124" t="s">
        <v>1627</v>
      </c>
      <c r="E785" s="124" t="s">
        <v>710</v>
      </c>
      <c r="F785" s="124" t="s">
        <v>1436</v>
      </c>
      <c r="G785" s="135">
        <f>1000</f>
        <v>1000</v>
      </c>
      <c r="H785" s="135">
        <f>1000+1000+1174+1602.4</f>
        <v>4776.4</v>
      </c>
      <c r="K785" s="135">
        <f>1000+1000+1174+1602.4</f>
        <v>4776.4</v>
      </c>
      <c r="L785" s="604">
        <f t="shared" si="55"/>
        <v>477.64</v>
      </c>
      <c r="M785" s="605">
        <f t="shared" si="56"/>
        <v>100</v>
      </c>
    </row>
    <row r="786" spans="1:13" ht="15">
      <c r="A786" s="130" t="s">
        <v>621</v>
      </c>
      <c r="B786" s="184" t="s">
        <v>781</v>
      </c>
      <c r="C786" s="124" t="s">
        <v>1622</v>
      </c>
      <c r="D786" s="124" t="s">
        <v>1627</v>
      </c>
      <c r="E786" s="124" t="s">
        <v>709</v>
      </c>
      <c r="F786" s="124" t="s">
        <v>1704</v>
      </c>
      <c r="G786" s="135">
        <f>G787</f>
        <v>0</v>
      </c>
      <c r="H786" s="135">
        <f>H787</f>
        <v>500</v>
      </c>
      <c r="K786" s="135">
        <f>K787</f>
        <v>462.3</v>
      </c>
      <c r="L786" s="604">
        <v>0</v>
      </c>
      <c r="M786" s="605">
        <f t="shared" si="56"/>
        <v>92.46</v>
      </c>
    </row>
    <row r="787" spans="1:13" ht="15">
      <c r="A787" s="130" t="s">
        <v>703</v>
      </c>
      <c r="B787" s="184" t="s">
        <v>781</v>
      </c>
      <c r="C787" s="124" t="s">
        <v>1622</v>
      </c>
      <c r="D787" s="124" t="s">
        <v>1627</v>
      </c>
      <c r="E787" s="124" t="s">
        <v>709</v>
      </c>
      <c r="F787" s="124" t="s">
        <v>1619</v>
      </c>
      <c r="G787" s="135">
        <v>0</v>
      </c>
      <c r="H787" s="135">
        <v>500</v>
      </c>
      <c r="K787" s="135">
        <v>462.3</v>
      </c>
      <c r="L787" s="604">
        <v>0</v>
      </c>
      <c r="M787" s="605">
        <f t="shared" si="56"/>
        <v>92.46</v>
      </c>
    </row>
    <row r="788" spans="1:13" ht="15">
      <c r="A788" s="130" t="s">
        <v>910</v>
      </c>
      <c r="B788" s="184" t="s">
        <v>781</v>
      </c>
      <c r="C788" s="124" t="s">
        <v>1622</v>
      </c>
      <c r="D788" s="124" t="s">
        <v>1627</v>
      </c>
      <c r="E788" s="124" t="s">
        <v>709</v>
      </c>
      <c r="F788" s="124" t="s">
        <v>911</v>
      </c>
      <c r="G788" s="132">
        <f>G789</f>
        <v>500</v>
      </c>
      <c r="H788" s="132">
        <f>H789</f>
        <v>0</v>
      </c>
      <c r="K788" s="132">
        <f>K789</f>
        <v>0</v>
      </c>
      <c r="L788" s="604">
        <f t="shared" si="55"/>
        <v>0</v>
      </c>
      <c r="M788" s="604">
        <v>0</v>
      </c>
    </row>
    <row r="789" spans="1:13" ht="15">
      <c r="A789" s="134" t="s">
        <v>912</v>
      </c>
      <c r="B789" s="184" t="s">
        <v>781</v>
      </c>
      <c r="C789" s="124" t="s">
        <v>1622</v>
      </c>
      <c r="D789" s="124" t="s">
        <v>1627</v>
      </c>
      <c r="E789" s="124" t="s">
        <v>709</v>
      </c>
      <c r="F789" s="124" t="s">
        <v>913</v>
      </c>
      <c r="G789" s="135">
        <f>500</f>
        <v>500</v>
      </c>
      <c r="H789" s="135">
        <f>500-500</f>
        <v>0</v>
      </c>
      <c r="K789" s="135">
        <f>500-500</f>
        <v>0</v>
      </c>
      <c r="L789" s="604">
        <f t="shared" si="55"/>
        <v>0</v>
      </c>
      <c r="M789" s="604">
        <v>0</v>
      </c>
    </row>
    <row r="790" spans="1:13" ht="15">
      <c r="A790" s="129" t="s">
        <v>1617</v>
      </c>
      <c r="B790" s="184" t="s">
        <v>781</v>
      </c>
      <c r="C790" s="124" t="s">
        <v>1624</v>
      </c>
      <c r="D790" s="124"/>
      <c r="E790" s="124"/>
      <c r="F790" s="148"/>
      <c r="G790" s="145">
        <f>G791+G799+G955</f>
        <v>186264.59999999998</v>
      </c>
      <c r="H790" s="145">
        <f>H791+H799+H955</f>
        <v>223076</v>
      </c>
      <c r="K790" s="145">
        <f>K791+K799+K955</f>
        <v>214089.2</v>
      </c>
      <c r="L790" s="604">
        <f t="shared" si="55"/>
        <v>114.93821155496</v>
      </c>
      <c r="M790" s="605">
        <f t="shared" si="56"/>
        <v>95.97141781276338</v>
      </c>
    </row>
    <row r="791" spans="1:13" ht="15">
      <c r="A791" s="133" t="s">
        <v>1601</v>
      </c>
      <c r="B791" s="184" t="s">
        <v>781</v>
      </c>
      <c r="C791" s="147" t="s">
        <v>1624</v>
      </c>
      <c r="D791" s="147" t="s">
        <v>1594</v>
      </c>
      <c r="E791" s="147"/>
      <c r="F791" s="147"/>
      <c r="G791" s="155">
        <f aca="true" t="shared" si="57" ref="G791:H793">G792</f>
        <v>9139</v>
      </c>
      <c r="H791" s="155">
        <f t="shared" si="57"/>
        <v>9139</v>
      </c>
      <c r="K791" s="155">
        <f>K792</f>
        <v>8253.6</v>
      </c>
      <c r="L791" s="604">
        <f t="shared" si="55"/>
        <v>90.31185031185032</v>
      </c>
      <c r="M791" s="605">
        <f t="shared" si="56"/>
        <v>90.31185031185032</v>
      </c>
    </row>
    <row r="792" spans="1:13" ht="24">
      <c r="A792" s="141" t="s">
        <v>711</v>
      </c>
      <c r="B792" s="184" t="s">
        <v>781</v>
      </c>
      <c r="C792" s="147" t="s">
        <v>1624</v>
      </c>
      <c r="D792" s="147" t="s">
        <v>1594</v>
      </c>
      <c r="E792" s="124" t="s">
        <v>1589</v>
      </c>
      <c r="F792" s="147"/>
      <c r="G792" s="132">
        <f t="shared" si="57"/>
        <v>9139</v>
      </c>
      <c r="H792" s="132">
        <f t="shared" si="57"/>
        <v>9139</v>
      </c>
      <c r="K792" s="132">
        <f>K793</f>
        <v>8253.6</v>
      </c>
      <c r="L792" s="604">
        <f t="shared" si="55"/>
        <v>90.31185031185032</v>
      </c>
      <c r="M792" s="605">
        <f t="shared" si="56"/>
        <v>90.31185031185032</v>
      </c>
    </row>
    <row r="793" spans="1:13" ht="36">
      <c r="A793" s="129" t="s">
        <v>1391</v>
      </c>
      <c r="B793" s="184" t="s">
        <v>781</v>
      </c>
      <c r="C793" s="124" t="s">
        <v>1624</v>
      </c>
      <c r="D793" s="124" t="s">
        <v>1594</v>
      </c>
      <c r="E793" s="124" t="s">
        <v>1342</v>
      </c>
      <c r="F793" s="147"/>
      <c r="G793" s="132">
        <f t="shared" si="57"/>
        <v>9139</v>
      </c>
      <c r="H793" s="132">
        <f t="shared" si="57"/>
        <v>9139</v>
      </c>
      <c r="K793" s="132">
        <f>K794</f>
        <v>8253.6</v>
      </c>
      <c r="L793" s="604">
        <f t="shared" si="55"/>
        <v>90.31185031185032</v>
      </c>
      <c r="M793" s="605">
        <f t="shared" si="56"/>
        <v>90.31185031185032</v>
      </c>
    </row>
    <row r="794" spans="1:13" ht="24">
      <c r="A794" s="134" t="s">
        <v>1497</v>
      </c>
      <c r="B794" s="184" t="s">
        <v>781</v>
      </c>
      <c r="C794" s="124" t="s">
        <v>1624</v>
      </c>
      <c r="D794" s="124" t="s">
        <v>1594</v>
      </c>
      <c r="E794" s="124" t="s">
        <v>712</v>
      </c>
      <c r="F794" s="124"/>
      <c r="G794" s="132">
        <f>G795+G797</f>
        <v>9139</v>
      </c>
      <c r="H794" s="132">
        <f>H795+H797</f>
        <v>9139</v>
      </c>
      <c r="K794" s="132">
        <f>K795+K797</f>
        <v>8253.6</v>
      </c>
      <c r="L794" s="604">
        <f t="shared" si="55"/>
        <v>90.31185031185032</v>
      </c>
      <c r="M794" s="605">
        <f t="shared" si="56"/>
        <v>90.31185031185032</v>
      </c>
    </row>
    <row r="795" spans="1:13" ht="24">
      <c r="A795" s="134" t="s">
        <v>782</v>
      </c>
      <c r="B795" s="184" t="s">
        <v>781</v>
      </c>
      <c r="C795" s="124" t="s">
        <v>1624</v>
      </c>
      <c r="D795" s="124" t="s">
        <v>1594</v>
      </c>
      <c r="E795" s="124" t="s">
        <v>712</v>
      </c>
      <c r="F795" s="124" t="s">
        <v>1704</v>
      </c>
      <c r="G795" s="132">
        <f>G796</f>
        <v>89</v>
      </c>
      <c r="H795" s="132">
        <f>H796</f>
        <v>89</v>
      </c>
      <c r="K795" s="132">
        <f>K796</f>
        <v>51</v>
      </c>
      <c r="L795" s="604">
        <f t="shared" si="55"/>
        <v>57.30337078651685</v>
      </c>
      <c r="M795" s="605">
        <f t="shared" si="56"/>
        <v>57.30337078651685</v>
      </c>
    </row>
    <row r="796" spans="1:13" ht="24">
      <c r="A796" s="134" t="s">
        <v>1718</v>
      </c>
      <c r="B796" s="184" t="s">
        <v>781</v>
      </c>
      <c r="C796" s="124" t="s">
        <v>1624</v>
      </c>
      <c r="D796" s="124" t="s">
        <v>1594</v>
      </c>
      <c r="E796" s="124" t="s">
        <v>712</v>
      </c>
      <c r="F796" s="124" t="s">
        <v>1619</v>
      </c>
      <c r="G796" s="135">
        <v>89</v>
      </c>
      <c r="H796" s="135">
        <v>89</v>
      </c>
      <c r="K796" s="135">
        <v>51</v>
      </c>
      <c r="L796" s="604">
        <f t="shared" si="55"/>
        <v>57.30337078651685</v>
      </c>
      <c r="M796" s="605">
        <f t="shared" si="56"/>
        <v>57.30337078651685</v>
      </c>
    </row>
    <row r="797" spans="1:13" ht="15">
      <c r="A797" s="130" t="s">
        <v>1705</v>
      </c>
      <c r="B797" s="184" t="s">
        <v>781</v>
      </c>
      <c r="C797" s="124" t="s">
        <v>1624</v>
      </c>
      <c r="D797" s="124" t="s">
        <v>1594</v>
      </c>
      <c r="E797" s="124" t="s">
        <v>712</v>
      </c>
      <c r="F797" s="124" t="s">
        <v>1706</v>
      </c>
      <c r="G797" s="132">
        <f>G798</f>
        <v>9050</v>
      </c>
      <c r="H797" s="132">
        <f>H798</f>
        <v>9050</v>
      </c>
      <c r="K797" s="132">
        <f>K798</f>
        <v>8202.6</v>
      </c>
      <c r="L797" s="604">
        <f t="shared" si="55"/>
        <v>90.6364640883978</v>
      </c>
      <c r="M797" s="605">
        <f t="shared" si="56"/>
        <v>90.6364640883978</v>
      </c>
    </row>
    <row r="798" spans="1:13" ht="15">
      <c r="A798" s="129" t="s">
        <v>562</v>
      </c>
      <c r="B798" s="184" t="s">
        <v>781</v>
      </c>
      <c r="C798" s="124" t="s">
        <v>1624</v>
      </c>
      <c r="D798" s="124" t="s">
        <v>1594</v>
      </c>
      <c r="E798" s="124" t="s">
        <v>712</v>
      </c>
      <c r="F798" s="124" t="s">
        <v>745</v>
      </c>
      <c r="G798" s="135">
        <f>8900+150</f>
        <v>9050</v>
      </c>
      <c r="H798" s="135">
        <f>8900+150</f>
        <v>9050</v>
      </c>
      <c r="K798" s="135">
        <v>8202.6</v>
      </c>
      <c r="L798" s="604">
        <f t="shared" si="55"/>
        <v>90.6364640883978</v>
      </c>
      <c r="M798" s="605">
        <f t="shared" si="56"/>
        <v>90.6364640883978</v>
      </c>
    </row>
    <row r="799" spans="1:13" ht="15">
      <c r="A799" s="133" t="s">
        <v>629</v>
      </c>
      <c r="B799" s="184" t="s">
        <v>781</v>
      </c>
      <c r="C799" s="124" t="s">
        <v>1624</v>
      </c>
      <c r="D799" s="124" t="s">
        <v>1627</v>
      </c>
      <c r="E799" s="124"/>
      <c r="F799" s="124"/>
      <c r="G799" s="155">
        <f>G801+G893+G902+G917</f>
        <v>96010.59999999999</v>
      </c>
      <c r="H799" s="155">
        <f>H801+H893+H902+H917</f>
        <v>140137</v>
      </c>
      <c r="K799" s="155">
        <f>K801+K893+K902+K917</f>
        <v>132036.30000000002</v>
      </c>
      <c r="L799" s="604">
        <f t="shared" si="55"/>
        <v>137.52262770985706</v>
      </c>
      <c r="M799" s="605">
        <f t="shared" si="56"/>
        <v>94.21944240279157</v>
      </c>
    </row>
    <row r="800" spans="1:13" ht="24">
      <c r="A800" s="141" t="s">
        <v>711</v>
      </c>
      <c r="B800" s="184" t="s">
        <v>781</v>
      </c>
      <c r="C800" s="124" t="s">
        <v>1624</v>
      </c>
      <c r="D800" s="124" t="s">
        <v>1627</v>
      </c>
      <c r="E800" s="124" t="s">
        <v>1589</v>
      </c>
      <c r="F800" s="124"/>
      <c r="G800" s="132">
        <f>G801+G893</f>
        <v>43831.4</v>
      </c>
      <c r="H800" s="132">
        <f>H801+H893+H902</f>
        <v>103217.9</v>
      </c>
      <c r="I800" s="132">
        <f>I801+I893+I902</f>
        <v>0</v>
      </c>
      <c r="J800" s="132">
        <f>J801+J893+J902</f>
        <v>0</v>
      </c>
      <c r="K800" s="132">
        <f>K801+K893+K902</f>
        <v>95986.40000000001</v>
      </c>
      <c r="L800" s="604">
        <f t="shared" si="55"/>
        <v>218.99003910438637</v>
      </c>
      <c r="M800" s="605">
        <f t="shared" si="56"/>
        <v>92.99394775518589</v>
      </c>
    </row>
    <row r="801" spans="1:13" ht="36">
      <c r="A801" s="129" t="s">
        <v>1391</v>
      </c>
      <c r="B801" s="184" t="s">
        <v>781</v>
      </c>
      <c r="C801" s="124" t="s">
        <v>1624</v>
      </c>
      <c r="D801" s="124" t="s">
        <v>1627</v>
      </c>
      <c r="E801" s="124" t="s">
        <v>1342</v>
      </c>
      <c r="F801" s="124"/>
      <c r="G801" s="132">
        <f>G802+G807+G812+G815+G818+G823+G828+G833+G838+G843+G848+G853+G858+G863+G866+G871+G874+G879+G882+G888+G885</f>
        <v>43331.4</v>
      </c>
      <c r="H801" s="132">
        <f>H802+H807+H812+H815+H818+H823+H828+H833+H838+H843+H848+H853+H858+H863+H866+H871+H874+H879+H882+H888+H885</f>
        <v>62614.9</v>
      </c>
      <c r="I801" s="132">
        <f>I802+I807+I812+I815+I818+I823+I828+I833+I838+I843+I848+I853+I858+I863+I866+I871+I874+I879+I882+I888+I885</f>
        <v>0</v>
      </c>
      <c r="J801" s="132">
        <f>J802+J807+J812+J815+J818+J823+J828+J833+J838+J843+J848+J853+J858+J863+J866+J871+J874+J879+J882+J888+J885</f>
        <v>0</v>
      </c>
      <c r="K801" s="132">
        <f>K802+K807+K812+K815+K818+K823+K828+K833+K838+K843+K848+K853+K858+K863+K866+K871+K874+K879+K882+K888+K885</f>
        <v>58494.700000000004</v>
      </c>
      <c r="L801" s="604">
        <f t="shared" si="55"/>
        <v>134.99379203072138</v>
      </c>
      <c r="M801" s="605">
        <f t="shared" si="56"/>
        <v>93.41977708181281</v>
      </c>
    </row>
    <row r="802" spans="1:13" ht="108">
      <c r="A802" s="161" t="s">
        <v>737</v>
      </c>
      <c r="B802" s="184" t="s">
        <v>781</v>
      </c>
      <c r="C802" s="124" t="s">
        <v>1624</v>
      </c>
      <c r="D802" s="124" t="s">
        <v>1627</v>
      </c>
      <c r="E802" s="124" t="s">
        <v>713</v>
      </c>
      <c r="F802" s="124"/>
      <c r="G802" s="132">
        <f>G805+G803</f>
        <v>403</v>
      </c>
      <c r="H802" s="132">
        <f>H805+H803</f>
        <v>403</v>
      </c>
      <c r="K802" s="132">
        <f>K805+K803</f>
        <v>43.4</v>
      </c>
      <c r="L802" s="604">
        <f t="shared" si="55"/>
        <v>10.769230769230768</v>
      </c>
      <c r="M802" s="605">
        <f t="shared" si="56"/>
        <v>10.769230769230768</v>
      </c>
    </row>
    <row r="803" spans="1:13" ht="24">
      <c r="A803" s="134" t="s">
        <v>782</v>
      </c>
      <c r="B803" s="184" t="s">
        <v>781</v>
      </c>
      <c r="C803" s="124" t="s">
        <v>1624</v>
      </c>
      <c r="D803" s="124" t="s">
        <v>1627</v>
      </c>
      <c r="E803" s="124" t="s">
        <v>713</v>
      </c>
      <c r="F803" s="124" t="s">
        <v>1704</v>
      </c>
      <c r="G803" s="132">
        <f>G804</f>
        <v>3</v>
      </c>
      <c r="H803" s="132">
        <f>H804</f>
        <v>3</v>
      </c>
      <c r="K803" s="132">
        <f>K804</f>
        <v>0.3</v>
      </c>
      <c r="L803" s="604">
        <f t="shared" si="55"/>
        <v>10</v>
      </c>
      <c r="M803" s="605">
        <f t="shared" si="56"/>
        <v>10</v>
      </c>
    </row>
    <row r="804" spans="1:13" ht="24">
      <c r="A804" s="134" t="s">
        <v>1718</v>
      </c>
      <c r="B804" s="184" t="s">
        <v>781</v>
      </c>
      <c r="C804" s="124" t="s">
        <v>1624</v>
      </c>
      <c r="D804" s="124" t="s">
        <v>1627</v>
      </c>
      <c r="E804" s="124" t="s">
        <v>713</v>
      </c>
      <c r="F804" s="124" t="s">
        <v>1619</v>
      </c>
      <c r="G804" s="135">
        <v>3</v>
      </c>
      <c r="H804" s="135">
        <v>3</v>
      </c>
      <c r="K804" s="135">
        <v>0.3</v>
      </c>
      <c r="L804" s="604">
        <f t="shared" si="55"/>
        <v>10</v>
      </c>
      <c r="M804" s="605">
        <f t="shared" si="56"/>
        <v>10</v>
      </c>
    </row>
    <row r="805" spans="1:13" ht="15">
      <c r="A805" s="130" t="s">
        <v>1705</v>
      </c>
      <c r="B805" s="184" t="s">
        <v>781</v>
      </c>
      <c r="C805" s="124" t="s">
        <v>1624</v>
      </c>
      <c r="D805" s="124" t="s">
        <v>1627</v>
      </c>
      <c r="E805" s="124" t="s">
        <v>713</v>
      </c>
      <c r="F805" s="124" t="s">
        <v>1706</v>
      </c>
      <c r="G805" s="132">
        <f>G806</f>
        <v>400</v>
      </c>
      <c r="H805" s="132">
        <f>H806</f>
        <v>400</v>
      </c>
      <c r="K805" s="132">
        <f>K806</f>
        <v>43.1</v>
      </c>
      <c r="L805" s="604">
        <f t="shared" si="55"/>
        <v>10.775</v>
      </c>
      <c r="M805" s="605">
        <f t="shared" si="56"/>
        <v>10.775</v>
      </c>
    </row>
    <row r="806" spans="1:13" ht="15">
      <c r="A806" s="129" t="s">
        <v>562</v>
      </c>
      <c r="B806" s="184" t="s">
        <v>781</v>
      </c>
      <c r="C806" s="124" t="s">
        <v>1624</v>
      </c>
      <c r="D806" s="124" t="s">
        <v>1627</v>
      </c>
      <c r="E806" s="124" t="s">
        <v>713</v>
      </c>
      <c r="F806" s="124" t="s">
        <v>745</v>
      </c>
      <c r="G806" s="135">
        <v>400</v>
      </c>
      <c r="H806" s="135">
        <v>400</v>
      </c>
      <c r="K806" s="135">
        <v>43.1</v>
      </c>
      <c r="L806" s="604">
        <f t="shared" si="55"/>
        <v>10.775</v>
      </c>
      <c r="M806" s="605">
        <f t="shared" si="56"/>
        <v>10.775</v>
      </c>
    </row>
    <row r="807" spans="1:13" ht="36">
      <c r="A807" s="129" t="s">
        <v>1719</v>
      </c>
      <c r="B807" s="184" t="s">
        <v>781</v>
      </c>
      <c r="C807" s="124" t="s">
        <v>1624</v>
      </c>
      <c r="D807" s="124" t="s">
        <v>1627</v>
      </c>
      <c r="E807" s="124" t="s">
        <v>714</v>
      </c>
      <c r="F807" s="124"/>
      <c r="G807" s="132">
        <f>G808+G810</f>
        <v>321.7</v>
      </c>
      <c r="H807" s="132">
        <f>H808+H810</f>
        <v>321.7</v>
      </c>
      <c r="K807" s="132">
        <f>K808+K810</f>
        <v>151.4</v>
      </c>
      <c r="L807" s="604">
        <f t="shared" si="55"/>
        <v>47.06248057196146</v>
      </c>
      <c r="M807" s="605">
        <f t="shared" si="56"/>
        <v>47.06248057196146</v>
      </c>
    </row>
    <row r="808" spans="1:13" ht="24">
      <c r="A808" s="134" t="s">
        <v>782</v>
      </c>
      <c r="B808" s="184" t="s">
        <v>781</v>
      </c>
      <c r="C808" s="124" t="s">
        <v>1624</v>
      </c>
      <c r="D808" s="124" t="s">
        <v>1627</v>
      </c>
      <c r="E808" s="124" t="s">
        <v>714</v>
      </c>
      <c r="F808" s="124" t="s">
        <v>1704</v>
      </c>
      <c r="G808" s="132">
        <f>G809</f>
        <v>2.4</v>
      </c>
      <c r="H808" s="132">
        <f>H809</f>
        <v>2.4</v>
      </c>
      <c r="K808" s="132">
        <f>K809</f>
        <v>1.1</v>
      </c>
      <c r="L808" s="604">
        <f t="shared" si="55"/>
        <v>45.833333333333336</v>
      </c>
      <c r="M808" s="605">
        <f t="shared" si="56"/>
        <v>45.833333333333336</v>
      </c>
    </row>
    <row r="809" spans="1:13" ht="24">
      <c r="A809" s="134" t="s">
        <v>1718</v>
      </c>
      <c r="B809" s="184" t="s">
        <v>781</v>
      </c>
      <c r="C809" s="124" t="s">
        <v>1624</v>
      </c>
      <c r="D809" s="124" t="s">
        <v>1627</v>
      </c>
      <c r="E809" s="124" t="s">
        <v>714</v>
      </c>
      <c r="F809" s="124" t="s">
        <v>1619</v>
      </c>
      <c r="G809" s="135">
        <v>2.4</v>
      </c>
      <c r="H809" s="135">
        <v>2.4</v>
      </c>
      <c r="K809" s="135">
        <v>1.1</v>
      </c>
      <c r="L809" s="604">
        <f t="shared" si="55"/>
        <v>45.833333333333336</v>
      </c>
      <c r="M809" s="605">
        <f t="shared" si="56"/>
        <v>45.833333333333336</v>
      </c>
    </row>
    <row r="810" spans="1:13" ht="15">
      <c r="A810" s="130" t="s">
        <v>1705</v>
      </c>
      <c r="B810" s="184" t="s">
        <v>781</v>
      </c>
      <c r="C810" s="124" t="s">
        <v>1624</v>
      </c>
      <c r="D810" s="124" t="s">
        <v>1627</v>
      </c>
      <c r="E810" s="124" t="s">
        <v>714</v>
      </c>
      <c r="F810" s="124" t="s">
        <v>1706</v>
      </c>
      <c r="G810" s="132">
        <f>G811</f>
        <v>319.3</v>
      </c>
      <c r="H810" s="132">
        <f>H811</f>
        <v>319.3</v>
      </c>
      <c r="K810" s="132">
        <f>K811</f>
        <v>150.3</v>
      </c>
      <c r="L810" s="604">
        <f t="shared" si="55"/>
        <v>47.07171938615722</v>
      </c>
      <c r="M810" s="605">
        <f t="shared" si="56"/>
        <v>47.07171938615722</v>
      </c>
    </row>
    <row r="811" spans="1:13" ht="15">
      <c r="A811" s="129" t="s">
        <v>562</v>
      </c>
      <c r="B811" s="184" t="s">
        <v>781</v>
      </c>
      <c r="C811" s="124" t="s">
        <v>1624</v>
      </c>
      <c r="D811" s="124" t="s">
        <v>1627</v>
      </c>
      <c r="E811" s="124" t="s">
        <v>714</v>
      </c>
      <c r="F811" s="124" t="s">
        <v>745</v>
      </c>
      <c r="G811" s="135">
        <v>319.3</v>
      </c>
      <c r="H811" s="135">
        <v>319.3</v>
      </c>
      <c r="K811" s="135">
        <v>150.3</v>
      </c>
      <c r="L811" s="604">
        <f t="shared" si="55"/>
        <v>47.07171938615722</v>
      </c>
      <c r="M811" s="605">
        <f t="shared" si="56"/>
        <v>47.07171938615722</v>
      </c>
    </row>
    <row r="812" spans="1:13" ht="72">
      <c r="A812" s="134" t="s">
        <v>1489</v>
      </c>
      <c r="B812" s="184" t="s">
        <v>781</v>
      </c>
      <c r="C812" s="124" t="s">
        <v>1624</v>
      </c>
      <c r="D812" s="124" t="s">
        <v>1627</v>
      </c>
      <c r="E812" s="124" t="s">
        <v>715</v>
      </c>
      <c r="F812" s="124"/>
      <c r="G812" s="132">
        <f>G813</f>
        <v>962</v>
      </c>
      <c r="H812" s="132">
        <f>H813</f>
        <v>962</v>
      </c>
      <c r="K812" s="132">
        <f>K813</f>
        <v>962</v>
      </c>
      <c r="L812" s="604">
        <f t="shared" si="55"/>
        <v>100</v>
      </c>
      <c r="M812" s="605">
        <f t="shared" si="56"/>
        <v>100</v>
      </c>
    </row>
    <row r="813" spans="1:13" ht="15">
      <c r="A813" s="130" t="s">
        <v>1705</v>
      </c>
      <c r="B813" s="184" t="s">
        <v>781</v>
      </c>
      <c r="C813" s="124" t="s">
        <v>1624</v>
      </c>
      <c r="D813" s="124" t="s">
        <v>1627</v>
      </c>
      <c r="E813" s="124" t="s">
        <v>715</v>
      </c>
      <c r="F813" s="124" t="s">
        <v>1706</v>
      </c>
      <c r="G813" s="132">
        <f>G814</f>
        <v>962</v>
      </c>
      <c r="H813" s="132">
        <f>H814</f>
        <v>962</v>
      </c>
      <c r="K813" s="132">
        <f>K814</f>
        <v>962</v>
      </c>
      <c r="L813" s="604">
        <f t="shared" si="55"/>
        <v>100</v>
      </c>
      <c r="M813" s="605">
        <f t="shared" si="56"/>
        <v>100</v>
      </c>
    </row>
    <row r="814" spans="1:13" ht="15">
      <c r="A814" s="129" t="s">
        <v>562</v>
      </c>
      <c r="B814" s="184" t="s">
        <v>781</v>
      </c>
      <c r="C814" s="124" t="s">
        <v>1624</v>
      </c>
      <c r="D814" s="124" t="s">
        <v>1627</v>
      </c>
      <c r="E814" s="124" t="s">
        <v>715</v>
      </c>
      <c r="F814" s="124" t="s">
        <v>745</v>
      </c>
      <c r="G814" s="135">
        <v>962</v>
      </c>
      <c r="H814" s="135">
        <v>962</v>
      </c>
      <c r="K814" s="135">
        <v>962</v>
      </c>
      <c r="L814" s="604">
        <f t="shared" si="55"/>
        <v>100</v>
      </c>
      <c r="M814" s="605">
        <f t="shared" si="56"/>
        <v>100</v>
      </c>
    </row>
    <row r="815" spans="1:13" ht="36">
      <c r="A815" s="134" t="s">
        <v>964</v>
      </c>
      <c r="B815" s="184" t="s">
        <v>781</v>
      </c>
      <c r="C815" s="124" t="s">
        <v>1624</v>
      </c>
      <c r="D815" s="124" t="s">
        <v>1627</v>
      </c>
      <c r="E815" s="124" t="s">
        <v>716</v>
      </c>
      <c r="F815" s="124"/>
      <c r="G815" s="132">
        <f>G816</f>
        <v>420</v>
      </c>
      <c r="H815" s="132">
        <f>H816</f>
        <v>420</v>
      </c>
      <c r="K815" s="132">
        <f>K816</f>
        <v>420</v>
      </c>
      <c r="L815" s="604">
        <f t="shared" si="55"/>
        <v>100</v>
      </c>
      <c r="M815" s="605">
        <f t="shared" si="56"/>
        <v>100</v>
      </c>
    </row>
    <row r="816" spans="1:13" ht="15">
      <c r="A816" s="130" t="s">
        <v>1705</v>
      </c>
      <c r="B816" s="184" t="s">
        <v>781</v>
      </c>
      <c r="C816" s="124" t="s">
        <v>1624</v>
      </c>
      <c r="D816" s="124" t="s">
        <v>1627</v>
      </c>
      <c r="E816" s="124" t="s">
        <v>716</v>
      </c>
      <c r="F816" s="124" t="s">
        <v>1706</v>
      </c>
      <c r="G816" s="132">
        <f>G817</f>
        <v>420</v>
      </c>
      <c r="H816" s="132">
        <f>H817</f>
        <v>420</v>
      </c>
      <c r="K816" s="132">
        <f>K817</f>
        <v>420</v>
      </c>
      <c r="L816" s="604">
        <f t="shared" si="55"/>
        <v>100</v>
      </c>
      <c r="M816" s="605">
        <f t="shared" si="56"/>
        <v>100</v>
      </c>
    </row>
    <row r="817" spans="1:13" ht="15">
      <c r="A817" s="129" t="s">
        <v>562</v>
      </c>
      <c r="B817" s="184" t="s">
        <v>781</v>
      </c>
      <c r="C817" s="124" t="s">
        <v>1624</v>
      </c>
      <c r="D817" s="124" t="s">
        <v>1627</v>
      </c>
      <c r="E817" s="124" t="s">
        <v>716</v>
      </c>
      <c r="F817" s="124" t="s">
        <v>745</v>
      </c>
      <c r="G817" s="135">
        <f>300+120</f>
        <v>420</v>
      </c>
      <c r="H817" s="135">
        <f>300+120</f>
        <v>420</v>
      </c>
      <c r="K817" s="135">
        <f>300+120</f>
        <v>420</v>
      </c>
      <c r="L817" s="604">
        <f t="shared" si="55"/>
        <v>100</v>
      </c>
      <c r="M817" s="605">
        <f t="shared" si="56"/>
        <v>100</v>
      </c>
    </row>
    <row r="818" spans="1:13" ht="24">
      <c r="A818" s="134" t="s">
        <v>1347</v>
      </c>
      <c r="B818" s="184" t="s">
        <v>781</v>
      </c>
      <c r="C818" s="124" t="s">
        <v>1624</v>
      </c>
      <c r="D818" s="124" t="s">
        <v>1627</v>
      </c>
      <c r="E818" s="124" t="s">
        <v>717</v>
      </c>
      <c r="F818" s="124"/>
      <c r="G818" s="132">
        <f>G819+G821</f>
        <v>363.1</v>
      </c>
      <c r="H818" s="132">
        <f>H819+H821</f>
        <v>363.1</v>
      </c>
      <c r="K818" s="132">
        <f>K819+K821</f>
        <v>324.7</v>
      </c>
      <c r="L818" s="604">
        <f t="shared" si="55"/>
        <v>89.42440099146239</v>
      </c>
      <c r="M818" s="605">
        <f t="shared" si="56"/>
        <v>89.42440099146239</v>
      </c>
    </row>
    <row r="819" spans="1:13" ht="24">
      <c r="A819" s="134" t="s">
        <v>782</v>
      </c>
      <c r="B819" s="184" t="s">
        <v>781</v>
      </c>
      <c r="C819" s="124" t="s">
        <v>1624</v>
      </c>
      <c r="D819" s="124" t="s">
        <v>1627</v>
      </c>
      <c r="E819" s="124" t="s">
        <v>717</v>
      </c>
      <c r="F819" s="124" t="s">
        <v>1704</v>
      </c>
      <c r="G819" s="132">
        <f>G820</f>
        <v>10.6</v>
      </c>
      <c r="H819" s="132">
        <f>H820</f>
        <v>10.6</v>
      </c>
      <c r="K819" s="132">
        <f>K820</f>
        <v>0.7</v>
      </c>
      <c r="L819" s="604">
        <f t="shared" si="55"/>
        <v>6.60377358490566</v>
      </c>
      <c r="M819" s="605">
        <f t="shared" si="56"/>
        <v>6.60377358490566</v>
      </c>
    </row>
    <row r="820" spans="1:13" ht="24">
      <c r="A820" s="134" t="s">
        <v>1718</v>
      </c>
      <c r="B820" s="184" t="s">
        <v>781</v>
      </c>
      <c r="C820" s="124" t="s">
        <v>1624</v>
      </c>
      <c r="D820" s="124" t="s">
        <v>1627</v>
      </c>
      <c r="E820" s="124" t="s">
        <v>717</v>
      </c>
      <c r="F820" s="124" t="s">
        <v>1619</v>
      </c>
      <c r="G820" s="135">
        <v>10.6</v>
      </c>
      <c r="H820" s="135">
        <v>10.6</v>
      </c>
      <c r="K820" s="135">
        <v>0.7</v>
      </c>
      <c r="L820" s="604">
        <f t="shared" si="55"/>
        <v>6.60377358490566</v>
      </c>
      <c r="M820" s="605">
        <f t="shared" si="56"/>
        <v>6.60377358490566</v>
      </c>
    </row>
    <row r="821" spans="1:13" ht="15">
      <c r="A821" s="130" t="s">
        <v>1705</v>
      </c>
      <c r="B821" s="184" t="s">
        <v>781</v>
      </c>
      <c r="C821" s="124" t="s">
        <v>1624</v>
      </c>
      <c r="D821" s="124" t="s">
        <v>1627</v>
      </c>
      <c r="E821" s="124" t="s">
        <v>717</v>
      </c>
      <c r="F821" s="124" t="s">
        <v>1706</v>
      </c>
      <c r="G821" s="132">
        <f>G822</f>
        <v>352.5</v>
      </c>
      <c r="H821" s="132">
        <f>H822</f>
        <v>352.5</v>
      </c>
      <c r="K821" s="132">
        <f>K822</f>
        <v>324</v>
      </c>
      <c r="L821" s="604">
        <f t="shared" si="55"/>
        <v>91.91489361702128</v>
      </c>
      <c r="M821" s="605">
        <f t="shared" si="56"/>
        <v>91.91489361702128</v>
      </c>
    </row>
    <row r="822" spans="1:13" ht="15">
      <c r="A822" s="129" t="s">
        <v>562</v>
      </c>
      <c r="B822" s="184" t="s">
        <v>781</v>
      </c>
      <c r="C822" s="124" t="s">
        <v>1624</v>
      </c>
      <c r="D822" s="124" t="s">
        <v>1627</v>
      </c>
      <c r="E822" s="124" t="s">
        <v>717</v>
      </c>
      <c r="F822" s="124" t="s">
        <v>745</v>
      </c>
      <c r="G822" s="135">
        <f>363.1-10.6</f>
        <v>352.5</v>
      </c>
      <c r="H822" s="135">
        <f>363.1-10.6</f>
        <v>352.5</v>
      </c>
      <c r="K822" s="135">
        <v>324</v>
      </c>
      <c r="L822" s="604">
        <f t="shared" si="55"/>
        <v>91.91489361702128</v>
      </c>
      <c r="M822" s="605">
        <f t="shared" si="56"/>
        <v>91.91489361702128</v>
      </c>
    </row>
    <row r="823" spans="1:13" ht="24">
      <c r="A823" s="134" t="s">
        <v>1348</v>
      </c>
      <c r="B823" s="184" t="s">
        <v>781</v>
      </c>
      <c r="C823" s="124" t="s">
        <v>1624</v>
      </c>
      <c r="D823" s="124" t="s">
        <v>1627</v>
      </c>
      <c r="E823" s="124" t="s">
        <v>718</v>
      </c>
      <c r="F823" s="124"/>
      <c r="G823" s="132">
        <f>G824+G826</f>
        <v>183.9</v>
      </c>
      <c r="H823" s="132">
        <f>H824+H826</f>
        <v>183.9</v>
      </c>
      <c r="K823" s="132">
        <f>K824+K826</f>
        <v>160.1</v>
      </c>
      <c r="L823" s="604">
        <f t="shared" si="55"/>
        <v>87.05818379554104</v>
      </c>
      <c r="M823" s="605">
        <f t="shared" si="56"/>
        <v>87.05818379554104</v>
      </c>
    </row>
    <row r="824" spans="1:13" ht="24">
      <c r="A824" s="134" t="s">
        <v>782</v>
      </c>
      <c r="B824" s="184" t="s">
        <v>781</v>
      </c>
      <c r="C824" s="124" t="s">
        <v>1624</v>
      </c>
      <c r="D824" s="124" t="s">
        <v>1627</v>
      </c>
      <c r="E824" s="124" t="s">
        <v>718</v>
      </c>
      <c r="F824" s="124" t="s">
        <v>1704</v>
      </c>
      <c r="G824" s="132">
        <f>G825</f>
        <v>5.4</v>
      </c>
      <c r="H824" s="132">
        <f>H825</f>
        <v>5.4</v>
      </c>
      <c r="K824" s="132">
        <f>K825</f>
        <v>2.6</v>
      </c>
      <c r="L824" s="604">
        <f t="shared" si="55"/>
        <v>48.148148148148145</v>
      </c>
      <c r="M824" s="605">
        <f t="shared" si="56"/>
        <v>48.148148148148145</v>
      </c>
    </row>
    <row r="825" spans="1:13" ht="24">
      <c r="A825" s="134" t="s">
        <v>1718</v>
      </c>
      <c r="B825" s="184" t="s">
        <v>781</v>
      </c>
      <c r="C825" s="124" t="s">
        <v>1624</v>
      </c>
      <c r="D825" s="124" t="s">
        <v>1627</v>
      </c>
      <c r="E825" s="124" t="s">
        <v>718</v>
      </c>
      <c r="F825" s="124" t="s">
        <v>1619</v>
      </c>
      <c r="G825" s="135">
        <v>5.4</v>
      </c>
      <c r="H825" s="135">
        <v>5.4</v>
      </c>
      <c r="K825" s="135">
        <v>2.6</v>
      </c>
      <c r="L825" s="604">
        <f t="shared" si="55"/>
        <v>48.148148148148145</v>
      </c>
      <c r="M825" s="605">
        <f t="shared" si="56"/>
        <v>48.148148148148145</v>
      </c>
    </row>
    <row r="826" spans="1:13" ht="15">
      <c r="A826" s="130" t="s">
        <v>1705</v>
      </c>
      <c r="B826" s="184" t="s">
        <v>781</v>
      </c>
      <c r="C826" s="124" t="s">
        <v>1624</v>
      </c>
      <c r="D826" s="124" t="s">
        <v>1627</v>
      </c>
      <c r="E826" s="124" t="s">
        <v>718</v>
      </c>
      <c r="F826" s="124" t="s">
        <v>1706</v>
      </c>
      <c r="G826" s="132">
        <f>G827</f>
        <v>178.5</v>
      </c>
      <c r="H826" s="132">
        <f>H827</f>
        <v>178.5</v>
      </c>
      <c r="K826" s="132">
        <f>K827</f>
        <v>157.5</v>
      </c>
      <c r="L826" s="604">
        <f t="shared" si="55"/>
        <v>88.23529411764706</v>
      </c>
      <c r="M826" s="605">
        <f t="shared" si="56"/>
        <v>88.23529411764706</v>
      </c>
    </row>
    <row r="827" spans="1:13" ht="15">
      <c r="A827" s="129" t="s">
        <v>562</v>
      </c>
      <c r="B827" s="184" t="s">
        <v>781</v>
      </c>
      <c r="C827" s="124" t="s">
        <v>1624</v>
      </c>
      <c r="D827" s="124" t="s">
        <v>1627</v>
      </c>
      <c r="E827" s="124" t="s">
        <v>718</v>
      </c>
      <c r="F827" s="124" t="s">
        <v>745</v>
      </c>
      <c r="G827" s="135">
        <f>183.9-5.4</f>
        <v>178.5</v>
      </c>
      <c r="H827" s="135">
        <f>183.9-5.4</f>
        <v>178.5</v>
      </c>
      <c r="K827" s="135">
        <v>157.5</v>
      </c>
      <c r="L827" s="604">
        <f t="shared" si="55"/>
        <v>88.23529411764706</v>
      </c>
      <c r="M827" s="605">
        <f t="shared" si="56"/>
        <v>88.23529411764706</v>
      </c>
    </row>
    <row r="828" spans="1:13" ht="24">
      <c r="A828" s="134" t="s">
        <v>576</v>
      </c>
      <c r="B828" s="184" t="s">
        <v>781</v>
      </c>
      <c r="C828" s="124" t="s">
        <v>1624</v>
      </c>
      <c r="D828" s="124" t="s">
        <v>1627</v>
      </c>
      <c r="E828" s="124" t="s">
        <v>719</v>
      </c>
      <c r="F828" s="124"/>
      <c r="G828" s="132">
        <f>G829+G831</f>
        <v>344.5</v>
      </c>
      <c r="H828" s="132">
        <f>H829+H831</f>
        <v>344.5</v>
      </c>
      <c r="K828" s="132">
        <f>K829+K831</f>
        <v>301</v>
      </c>
      <c r="L828" s="604">
        <f t="shared" si="55"/>
        <v>87.37300435413643</v>
      </c>
      <c r="M828" s="605">
        <f t="shared" si="56"/>
        <v>87.37300435413643</v>
      </c>
    </row>
    <row r="829" spans="1:13" ht="24">
      <c r="A829" s="134" t="s">
        <v>782</v>
      </c>
      <c r="B829" s="184" t="s">
        <v>781</v>
      </c>
      <c r="C829" s="124" t="s">
        <v>1624</v>
      </c>
      <c r="D829" s="124" t="s">
        <v>1627</v>
      </c>
      <c r="E829" s="124" t="s">
        <v>719</v>
      </c>
      <c r="F829" s="124" t="s">
        <v>1704</v>
      </c>
      <c r="G829" s="132">
        <f>G830</f>
        <v>10</v>
      </c>
      <c r="H829" s="132">
        <f>H830</f>
        <v>10</v>
      </c>
      <c r="K829" s="132">
        <f>K830</f>
        <v>1</v>
      </c>
      <c r="L829" s="604">
        <f t="shared" si="55"/>
        <v>10</v>
      </c>
      <c r="M829" s="605">
        <f t="shared" si="56"/>
        <v>10</v>
      </c>
    </row>
    <row r="830" spans="1:13" ht="24">
      <c r="A830" s="134" t="s">
        <v>1718</v>
      </c>
      <c r="B830" s="184" t="s">
        <v>781</v>
      </c>
      <c r="C830" s="124" t="s">
        <v>1624</v>
      </c>
      <c r="D830" s="124" t="s">
        <v>1627</v>
      </c>
      <c r="E830" s="124" t="s">
        <v>719</v>
      </c>
      <c r="F830" s="124" t="s">
        <v>1619</v>
      </c>
      <c r="G830" s="135">
        <v>10</v>
      </c>
      <c r="H830" s="135">
        <v>10</v>
      </c>
      <c r="K830" s="135">
        <v>1</v>
      </c>
      <c r="L830" s="604">
        <f t="shared" si="55"/>
        <v>10</v>
      </c>
      <c r="M830" s="605">
        <f t="shared" si="56"/>
        <v>10</v>
      </c>
    </row>
    <row r="831" spans="1:13" ht="15">
      <c r="A831" s="130" t="s">
        <v>1705</v>
      </c>
      <c r="B831" s="184" t="s">
        <v>781</v>
      </c>
      <c r="C831" s="124" t="s">
        <v>1624</v>
      </c>
      <c r="D831" s="124" t="s">
        <v>1627</v>
      </c>
      <c r="E831" s="124" t="s">
        <v>719</v>
      </c>
      <c r="F831" s="124" t="s">
        <v>1706</v>
      </c>
      <c r="G831" s="132">
        <f>G832</f>
        <v>334.5</v>
      </c>
      <c r="H831" s="132">
        <f>H832</f>
        <v>334.5</v>
      </c>
      <c r="K831" s="132">
        <f>K832</f>
        <v>300</v>
      </c>
      <c r="L831" s="604">
        <f t="shared" si="55"/>
        <v>89.68609865470853</v>
      </c>
      <c r="M831" s="605">
        <f t="shared" si="56"/>
        <v>89.68609865470853</v>
      </c>
    </row>
    <row r="832" spans="1:13" ht="15">
      <c r="A832" s="129" t="s">
        <v>562</v>
      </c>
      <c r="B832" s="184" t="s">
        <v>781</v>
      </c>
      <c r="C832" s="124" t="s">
        <v>1624</v>
      </c>
      <c r="D832" s="124" t="s">
        <v>1627</v>
      </c>
      <c r="E832" s="124" t="s">
        <v>719</v>
      </c>
      <c r="F832" s="124" t="s">
        <v>745</v>
      </c>
      <c r="G832" s="135">
        <f>344.5-10</f>
        <v>334.5</v>
      </c>
      <c r="H832" s="135">
        <f>344.5-10</f>
        <v>334.5</v>
      </c>
      <c r="K832" s="135">
        <v>300</v>
      </c>
      <c r="L832" s="604">
        <f t="shared" si="55"/>
        <v>89.68609865470853</v>
      </c>
      <c r="M832" s="605">
        <f t="shared" si="56"/>
        <v>89.68609865470853</v>
      </c>
    </row>
    <row r="833" spans="1:13" ht="24">
      <c r="A833" s="134" t="s">
        <v>577</v>
      </c>
      <c r="B833" s="184" t="s">
        <v>781</v>
      </c>
      <c r="C833" s="124" t="s">
        <v>1624</v>
      </c>
      <c r="D833" s="124" t="s">
        <v>1627</v>
      </c>
      <c r="E833" s="124" t="s">
        <v>720</v>
      </c>
      <c r="F833" s="124"/>
      <c r="G833" s="132">
        <f>G834+G836</f>
        <v>24.7</v>
      </c>
      <c r="H833" s="132">
        <f>H834+H836</f>
        <v>24.7</v>
      </c>
      <c r="K833" s="132">
        <f>K834+K836</f>
        <v>12.3</v>
      </c>
      <c r="L833" s="604">
        <f t="shared" si="55"/>
        <v>49.79757085020243</v>
      </c>
      <c r="M833" s="605">
        <f t="shared" si="56"/>
        <v>49.79757085020243</v>
      </c>
    </row>
    <row r="834" spans="1:13" ht="24">
      <c r="A834" s="134" t="s">
        <v>782</v>
      </c>
      <c r="B834" s="184" t="s">
        <v>781</v>
      </c>
      <c r="C834" s="124" t="s">
        <v>1624</v>
      </c>
      <c r="D834" s="124" t="s">
        <v>1627</v>
      </c>
      <c r="E834" s="124" t="s">
        <v>720</v>
      </c>
      <c r="F834" s="124" t="s">
        <v>1704</v>
      </c>
      <c r="G834" s="132">
        <f>G835</f>
        <v>0.7</v>
      </c>
      <c r="H834" s="132">
        <f>H835</f>
        <v>0.7</v>
      </c>
      <c r="K834" s="132">
        <f>K835</f>
        <v>0.3</v>
      </c>
      <c r="L834" s="604">
        <f t="shared" si="55"/>
        <v>42.85714285714286</v>
      </c>
      <c r="M834" s="605">
        <f t="shared" si="56"/>
        <v>42.85714285714286</v>
      </c>
    </row>
    <row r="835" spans="1:13" ht="24">
      <c r="A835" s="134" t="s">
        <v>1718</v>
      </c>
      <c r="B835" s="184" t="s">
        <v>781</v>
      </c>
      <c r="C835" s="124" t="s">
        <v>1624</v>
      </c>
      <c r="D835" s="124" t="s">
        <v>1627</v>
      </c>
      <c r="E835" s="124" t="s">
        <v>720</v>
      </c>
      <c r="F835" s="124" t="s">
        <v>1619</v>
      </c>
      <c r="G835" s="135">
        <v>0.7</v>
      </c>
      <c r="H835" s="135">
        <v>0.7</v>
      </c>
      <c r="K835" s="135">
        <v>0.3</v>
      </c>
      <c r="L835" s="604">
        <f t="shared" si="55"/>
        <v>42.85714285714286</v>
      </c>
      <c r="M835" s="605">
        <f t="shared" si="56"/>
        <v>42.85714285714286</v>
      </c>
    </row>
    <row r="836" spans="1:13" ht="15">
      <c r="A836" s="130" t="s">
        <v>1705</v>
      </c>
      <c r="B836" s="184" t="s">
        <v>781</v>
      </c>
      <c r="C836" s="124" t="s">
        <v>1624</v>
      </c>
      <c r="D836" s="124" t="s">
        <v>1627</v>
      </c>
      <c r="E836" s="124" t="s">
        <v>720</v>
      </c>
      <c r="F836" s="124" t="s">
        <v>1706</v>
      </c>
      <c r="G836" s="132">
        <f>G837</f>
        <v>24</v>
      </c>
      <c r="H836" s="132">
        <f>H837</f>
        <v>24</v>
      </c>
      <c r="K836" s="132">
        <f>K837</f>
        <v>12</v>
      </c>
      <c r="L836" s="604">
        <f t="shared" si="55"/>
        <v>50</v>
      </c>
      <c r="M836" s="605">
        <f t="shared" si="56"/>
        <v>50</v>
      </c>
    </row>
    <row r="837" spans="1:13" ht="15">
      <c r="A837" s="129" t="s">
        <v>562</v>
      </c>
      <c r="B837" s="184" t="s">
        <v>781</v>
      </c>
      <c r="C837" s="124" t="s">
        <v>1624</v>
      </c>
      <c r="D837" s="124" t="s">
        <v>1627</v>
      </c>
      <c r="E837" s="124" t="s">
        <v>720</v>
      </c>
      <c r="F837" s="124" t="s">
        <v>745</v>
      </c>
      <c r="G837" s="135">
        <f>24.7-0.7</f>
        <v>24</v>
      </c>
      <c r="H837" s="135">
        <f>24.7-0.7</f>
        <v>24</v>
      </c>
      <c r="K837" s="135">
        <v>12</v>
      </c>
      <c r="L837" s="604">
        <f t="shared" si="55"/>
        <v>50</v>
      </c>
      <c r="M837" s="605">
        <f t="shared" si="56"/>
        <v>50</v>
      </c>
    </row>
    <row r="838" spans="1:13" ht="24">
      <c r="A838" s="134" t="s">
        <v>112</v>
      </c>
      <c r="B838" s="184" t="s">
        <v>781</v>
      </c>
      <c r="C838" s="124" t="s">
        <v>1624</v>
      </c>
      <c r="D838" s="124" t="s">
        <v>1627</v>
      </c>
      <c r="E838" s="124" t="s">
        <v>721</v>
      </c>
      <c r="F838" s="124"/>
      <c r="G838" s="132">
        <f>G839+G841</f>
        <v>38.6</v>
      </c>
      <c r="H838" s="132">
        <f>H839+H841</f>
        <v>38.6</v>
      </c>
      <c r="K838" s="132">
        <f>K839+K841</f>
        <v>7.6</v>
      </c>
      <c r="L838" s="604">
        <f t="shared" si="55"/>
        <v>19.689119170984455</v>
      </c>
      <c r="M838" s="605">
        <f t="shared" si="56"/>
        <v>19.689119170984455</v>
      </c>
    </row>
    <row r="839" spans="1:13" ht="24">
      <c r="A839" s="134" t="s">
        <v>782</v>
      </c>
      <c r="B839" s="184" t="s">
        <v>781</v>
      </c>
      <c r="C839" s="124" t="s">
        <v>1624</v>
      </c>
      <c r="D839" s="124" t="s">
        <v>1627</v>
      </c>
      <c r="E839" s="124" t="s">
        <v>721</v>
      </c>
      <c r="F839" s="124" t="s">
        <v>1704</v>
      </c>
      <c r="G839" s="132">
        <f>G840</f>
        <v>1.1</v>
      </c>
      <c r="H839" s="132">
        <f>H840</f>
        <v>1.1</v>
      </c>
      <c r="K839" s="132">
        <f>K840</f>
        <v>0.1</v>
      </c>
      <c r="L839" s="604">
        <f t="shared" si="55"/>
        <v>9.090909090909092</v>
      </c>
      <c r="M839" s="605">
        <f t="shared" si="56"/>
        <v>9.090909090909092</v>
      </c>
    </row>
    <row r="840" spans="1:13" ht="24">
      <c r="A840" s="134" t="s">
        <v>1718</v>
      </c>
      <c r="B840" s="184" t="s">
        <v>781</v>
      </c>
      <c r="C840" s="124" t="s">
        <v>1624</v>
      </c>
      <c r="D840" s="124" t="s">
        <v>1627</v>
      </c>
      <c r="E840" s="124" t="s">
        <v>721</v>
      </c>
      <c r="F840" s="124" t="s">
        <v>1619</v>
      </c>
      <c r="G840" s="135">
        <v>1.1</v>
      </c>
      <c r="H840" s="135">
        <v>1.1</v>
      </c>
      <c r="K840" s="135">
        <v>0.1</v>
      </c>
      <c r="L840" s="604">
        <f t="shared" si="55"/>
        <v>9.090909090909092</v>
      </c>
      <c r="M840" s="605">
        <f t="shared" si="56"/>
        <v>9.090909090909092</v>
      </c>
    </row>
    <row r="841" spans="1:13" ht="15">
      <c r="A841" s="130" t="s">
        <v>1705</v>
      </c>
      <c r="B841" s="184" t="s">
        <v>781</v>
      </c>
      <c r="C841" s="124" t="s">
        <v>1624</v>
      </c>
      <c r="D841" s="124" t="s">
        <v>1627</v>
      </c>
      <c r="E841" s="124" t="s">
        <v>721</v>
      </c>
      <c r="F841" s="124" t="s">
        <v>1706</v>
      </c>
      <c r="G841" s="132">
        <f>G842</f>
        <v>37.5</v>
      </c>
      <c r="H841" s="132">
        <f>H842</f>
        <v>37.5</v>
      </c>
      <c r="K841" s="132">
        <f>K842</f>
        <v>7.5</v>
      </c>
      <c r="L841" s="604">
        <f t="shared" si="55"/>
        <v>20</v>
      </c>
      <c r="M841" s="605">
        <f t="shared" si="56"/>
        <v>20</v>
      </c>
    </row>
    <row r="842" spans="1:13" ht="15">
      <c r="A842" s="129" t="s">
        <v>562</v>
      </c>
      <c r="B842" s="184" t="s">
        <v>781</v>
      </c>
      <c r="C842" s="124" t="s">
        <v>1624</v>
      </c>
      <c r="D842" s="124" t="s">
        <v>1627</v>
      </c>
      <c r="E842" s="124" t="s">
        <v>721</v>
      </c>
      <c r="F842" s="124" t="s">
        <v>745</v>
      </c>
      <c r="G842" s="135">
        <f>38.6-1.1</f>
        <v>37.5</v>
      </c>
      <c r="H842" s="135">
        <f>38.6-1.1</f>
        <v>37.5</v>
      </c>
      <c r="K842" s="135">
        <v>7.5</v>
      </c>
      <c r="L842" s="604">
        <f t="shared" si="55"/>
        <v>20</v>
      </c>
      <c r="M842" s="605">
        <f t="shared" si="56"/>
        <v>20</v>
      </c>
    </row>
    <row r="843" spans="1:13" ht="24">
      <c r="A843" s="134" t="s">
        <v>1505</v>
      </c>
      <c r="B843" s="184" t="s">
        <v>781</v>
      </c>
      <c r="C843" s="124" t="s">
        <v>1624</v>
      </c>
      <c r="D843" s="124" t="s">
        <v>1627</v>
      </c>
      <c r="E843" s="124" t="s">
        <v>722</v>
      </c>
      <c r="F843" s="124"/>
      <c r="G843" s="132">
        <f>G844+G846</f>
        <v>35.5</v>
      </c>
      <c r="H843" s="132">
        <f>H844+H846</f>
        <v>35.5</v>
      </c>
      <c r="K843" s="132">
        <f>K844+K846</f>
        <v>32.2</v>
      </c>
      <c r="L843" s="604">
        <f aca="true" t="shared" si="58" ref="L843:L906">K843/G843*100</f>
        <v>90.70422535211269</v>
      </c>
      <c r="M843" s="605">
        <f t="shared" si="56"/>
        <v>90.70422535211269</v>
      </c>
    </row>
    <row r="844" spans="1:13" ht="24">
      <c r="A844" s="134" t="s">
        <v>782</v>
      </c>
      <c r="B844" s="184" t="s">
        <v>781</v>
      </c>
      <c r="C844" s="124" t="s">
        <v>1624</v>
      </c>
      <c r="D844" s="124" t="s">
        <v>1627</v>
      </c>
      <c r="E844" s="124" t="s">
        <v>722</v>
      </c>
      <c r="F844" s="124" t="s">
        <v>1704</v>
      </c>
      <c r="G844" s="132">
        <f>G845</f>
        <v>1</v>
      </c>
      <c r="H844" s="132">
        <f>H845</f>
        <v>1</v>
      </c>
      <c r="K844" s="132">
        <f>K845</f>
        <v>0.7</v>
      </c>
      <c r="L844" s="604">
        <f t="shared" si="58"/>
        <v>70</v>
      </c>
      <c r="M844" s="605">
        <f t="shared" si="56"/>
        <v>70</v>
      </c>
    </row>
    <row r="845" spans="1:13" ht="24">
      <c r="A845" s="134" t="s">
        <v>1718</v>
      </c>
      <c r="B845" s="184" t="s">
        <v>781</v>
      </c>
      <c r="C845" s="124" t="s">
        <v>1624</v>
      </c>
      <c r="D845" s="124" t="s">
        <v>1627</v>
      </c>
      <c r="E845" s="124" t="s">
        <v>722</v>
      </c>
      <c r="F845" s="124" t="s">
        <v>1619</v>
      </c>
      <c r="G845" s="135">
        <v>1</v>
      </c>
      <c r="H845" s="135">
        <v>1</v>
      </c>
      <c r="K845" s="135">
        <v>0.7</v>
      </c>
      <c r="L845" s="604">
        <f t="shared" si="58"/>
        <v>70</v>
      </c>
      <c r="M845" s="605">
        <f aca="true" t="shared" si="59" ref="M845:M908">K845/H845*100</f>
        <v>70</v>
      </c>
    </row>
    <row r="846" spans="1:13" ht="15">
      <c r="A846" s="130" t="s">
        <v>1705</v>
      </c>
      <c r="B846" s="184" t="s">
        <v>781</v>
      </c>
      <c r="C846" s="124" t="s">
        <v>1624</v>
      </c>
      <c r="D846" s="124" t="s">
        <v>1627</v>
      </c>
      <c r="E846" s="124" t="s">
        <v>722</v>
      </c>
      <c r="F846" s="124" t="s">
        <v>1706</v>
      </c>
      <c r="G846" s="132">
        <f>G847</f>
        <v>34.5</v>
      </c>
      <c r="H846" s="132">
        <f>H847</f>
        <v>34.5</v>
      </c>
      <c r="K846" s="132">
        <f>K847</f>
        <v>31.5</v>
      </c>
      <c r="L846" s="604">
        <f t="shared" si="58"/>
        <v>91.30434782608695</v>
      </c>
      <c r="M846" s="605">
        <f t="shared" si="59"/>
        <v>91.30434782608695</v>
      </c>
    </row>
    <row r="847" spans="1:13" ht="15">
      <c r="A847" s="129" t="s">
        <v>562</v>
      </c>
      <c r="B847" s="184" t="s">
        <v>781</v>
      </c>
      <c r="C847" s="124" t="s">
        <v>1624</v>
      </c>
      <c r="D847" s="124" t="s">
        <v>1627</v>
      </c>
      <c r="E847" s="124" t="s">
        <v>722</v>
      </c>
      <c r="F847" s="124" t="s">
        <v>745</v>
      </c>
      <c r="G847" s="135">
        <f>35.5-1</f>
        <v>34.5</v>
      </c>
      <c r="H847" s="135">
        <f>35.5-1</f>
        <v>34.5</v>
      </c>
      <c r="K847" s="135">
        <v>31.5</v>
      </c>
      <c r="L847" s="604">
        <f t="shared" si="58"/>
        <v>91.30434782608695</v>
      </c>
      <c r="M847" s="605">
        <f t="shared" si="59"/>
        <v>91.30434782608695</v>
      </c>
    </row>
    <row r="848" spans="1:13" ht="24">
      <c r="A848" s="134" t="s">
        <v>842</v>
      </c>
      <c r="B848" s="184" t="s">
        <v>781</v>
      </c>
      <c r="C848" s="124" t="s">
        <v>1624</v>
      </c>
      <c r="D848" s="124" t="s">
        <v>1627</v>
      </c>
      <c r="E848" s="124" t="s">
        <v>723</v>
      </c>
      <c r="F848" s="124"/>
      <c r="G848" s="132">
        <f>G849+G851</f>
        <v>13.9</v>
      </c>
      <c r="H848" s="132">
        <f>H849+H851</f>
        <v>13.9</v>
      </c>
      <c r="K848" s="132">
        <f>K849+K851</f>
        <v>9.1</v>
      </c>
      <c r="L848" s="604">
        <f t="shared" si="58"/>
        <v>65.46762589928056</v>
      </c>
      <c r="M848" s="605">
        <f t="shared" si="59"/>
        <v>65.46762589928056</v>
      </c>
    </row>
    <row r="849" spans="1:13" ht="24">
      <c r="A849" s="134" t="s">
        <v>782</v>
      </c>
      <c r="B849" s="184" t="s">
        <v>781</v>
      </c>
      <c r="C849" s="124" t="s">
        <v>1624</v>
      </c>
      <c r="D849" s="124" t="s">
        <v>1627</v>
      </c>
      <c r="E849" s="124" t="s">
        <v>723</v>
      </c>
      <c r="F849" s="124" t="s">
        <v>1704</v>
      </c>
      <c r="G849" s="132">
        <f>G850</f>
        <v>0.4</v>
      </c>
      <c r="H849" s="132">
        <f>H850</f>
        <v>0.4</v>
      </c>
      <c r="K849" s="132">
        <f>K850</f>
        <v>0.1</v>
      </c>
      <c r="L849" s="604">
        <f t="shared" si="58"/>
        <v>25</v>
      </c>
      <c r="M849" s="605">
        <f t="shared" si="59"/>
        <v>25</v>
      </c>
    </row>
    <row r="850" spans="1:13" ht="24">
      <c r="A850" s="134" t="s">
        <v>1718</v>
      </c>
      <c r="B850" s="184" t="s">
        <v>781</v>
      </c>
      <c r="C850" s="124" t="s">
        <v>1624</v>
      </c>
      <c r="D850" s="124" t="s">
        <v>1627</v>
      </c>
      <c r="E850" s="124" t="s">
        <v>723</v>
      </c>
      <c r="F850" s="124" t="s">
        <v>1619</v>
      </c>
      <c r="G850" s="135">
        <v>0.4</v>
      </c>
      <c r="H850" s="135">
        <v>0.4</v>
      </c>
      <c r="K850" s="135">
        <v>0.1</v>
      </c>
      <c r="L850" s="604">
        <f t="shared" si="58"/>
        <v>25</v>
      </c>
      <c r="M850" s="605">
        <f t="shared" si="59"/>
        <v>25</v>
      </c>
    </row>
    <row r="851" spans="1:13" ht="15">
      <c r="A851" s="130" t="s">
        <v>1705</v>
      </c>
      <c r="B851" s="184" t="s">
        <v>781</v>
      </c>
      <c r="C851" s="124" t="s">
        <v>1624</v>
      </c>
      <c r="D851" s="124" t="s">
        <v>1627</v>
      </c>
      <c r="E851" s="124" t="s">
        <v>723</v>
      </c>
      <c r="F851" s="124" t="s">
        <v>1706</v>
      </c>
      <c r="G851" s="132">
        <f>G852</f>
        <v>13.5</v>
      </c>
      <c r="H851" s="132">
        <f>H852</f>
        <v>13.5</v>
      </c>
      <c r="K851" s="132">
        <f>K852</f>
        <v>9</v>
      </c>
      <c r="L851" s="604">
        <f t="shared" si="58"/>
        <v>66.66666666666666</v>
      </c>
      <c r="M851" s="605">
        <f t="shared" si="59"/>
        <v>66.66666666666666</v>
      </c>
    </row>
    <row r="852" spans="1:13" ht="15">
      <c r="A852" s="129" t="s">
        <v>562</v>
      </c>
      <c r="B852" s="184" t="s">
        <v>781</v>
      </c>
      <c r="C852" s="124" t="s">
        <v>1624</v>
      </c>
      <c r="D852" s="124" t="s">
        <v>1627</v>
      </c>
      <c r="E852" s="124" t="s">
        <v>723</v>
      </c>
      <c r="F852" s="124" t="s">
        <v>745</v>
      </c>
      <c r="G852" s="135">
        <f>13.9-0.4</f>
        <v>13.5</v>
      </c>
      <c r="H852" s="135">
        <f>13.9-0.4</f>
        <v>13.5</v>
      </c>
      <c r="K852" s="135">
        <v>9</v>
      </c>
      <c r="L852" s="604">
        <f t="shared" si="58"/>
        <v>66.66666666666666</v>
      </c>
      <c r="M852" s="605">
        <f t="shared" si="59"/>
        <v>66.66666666666666</v>
      </c>
    </row>
    <row r="853" spans="1:13" ht="24">
      <c r="A853" s="134" t="s">
        <v>818</v>
      </c>
      <c r="B853" s="184" t="s">
        <v>781</v>
      </c>
      <c r="C853" s="124" t="s">
        <v>1624</v>
      </c>
      <c r="D853" s="124" t="s">
        <v>1627</v>
      </c>
      <c r="E853" s="124" t="s">
        <v>724</v>
      </c>
      <c r="F853" s="124"/>
      <c r="G853" s="132">
        <f>G854+G856</f>
        <v>8352</v>
      </c>
      <c r="H853" s="132">
        <f>H854+H856</f>
        <v>8402</v>
      </c>
      <c r="K853" s="132">
        <f>K854+K856</f>
        <v>8305.8</v>
      </c>
      <c r="L853" s="604">
        <f t="shared" si="58"/>
        <v>99.44683908045975</v>
      </c>
      <c r="M853" s="605">
        <f t="shared" si="59"/>
        <v>98.85503451559153</v>
      </c>
    </row>
    <row r="854" spans="1:13" ht="24">
      <c r="A854" s="134" t="s">
        <v>782</v>
      </c>
      <c r="B854" s="184" t="s">
        <v>781</v>
      </c>
      <c r="C854" s="124" t="s">
        <v>1624</v>
      </c>
      <c r="D854" s="124" t="s">
        <v>1627</v>
      </c>
      <c r="E854" s="124" t="s">
        <v>724</v>
      </c>
      <c r="F854" s="124" t="s">
        <v>1704</v>
      </c>
      <c r="G854" s="132">
        <f>G855</f>
        <v>67.5</v>
      </c>
      <c r="H854" s="132">
        <f>H855</f>
        <v>87.5</v>
      </c>
      <c r="K854" s="132">
        <f>K855</f>
        <v>80.3</v>
      </c>
      <c r="L854" s="604">
        <f t="shared" si="58"/>
        <v>118.96296296296296</v>
      </c>
      <c r="M854" s="605">
        <f t="shared" si="59"/>
        <v>91.77142857142857</v>
      </c>
    </row>
    <row r="855" spans="1:13" ht="24">
      <c r="A855" s="134" t="s">
        <v>1718</v>
      </c>
      <c r="B855" s="184" t="s">
        <v>781</v>
      </c>
      <c r="C855" s="124" t="s">
        <v>1624</v>
      </c>
      <c r="D855" s="124" t="s">
        <v>1627</v>
      </c>
      <c r="E855" s="124" t="s">
        <v>724</v>
      </c>
      <c r="F855" s="124" t="s">
        <v>1619</v>
      </c>
      <c r="G855" s="135">
        <f>67.5</f>
        <v>67.5</v>
      </c>
      <c r="H855" s="135">
        <f>67.5+20</f>
        <v>87.5</v>
      </c>
      <c r="K855" s="135">
        <v>80.3</v>
      </c>
      <c r="L855" s="604">
        <f t="shared" si="58"/>
        <v>118.96296296296296</v>
      </c>
      <c r="M855" s="605">
        <f t="shared" si="59"/>
        <v>91.77142857142857</v>
      </c>
    </row>
    <row r="856" spans="1:13" ht="15">
      <c r="A856" s="130" t="s">
        <v>1705</v>
      </c>
      <c r="B856" s="184" t="s">
        <v>781</v>
      </c>
      <c r="C856" s="124" t="s">
        <v>1624</v>
      </c>
      <c r="D856" s="124" t="s">
        <v>1627</v>
      </c>
      <c r="E856" s="124" t="s">
        <v>724</v>
      </c>
      <c r="F856" s="124" t="s">
        <v>1706</v>
      </c>
      <c r="G856" s="132">
        <f>G857</f>
        <v>8284.5</v>
      </c>
      <c r="H856" s="132">
        <f>H857</f>
        <v>8314.5</v>
      </c>
      <c r="K856" s="132">
        <f>K857</f>
        <v>8225.5</v>
      </c>
      <c r="L856" s="604">
        <f t="shared" si="58"/>
        <v>99.28782666425252</v>
      </c>
      <c r="M856" s="605">
        <f t="shared" si="59"/>
        <v>98.92958085272716</v>
      </c>
    </row>
    <row r="857" spans="1:13" ht="15">
      <c r="A857" s="129" t="s">
        <v>562</v>
      </c>
      <c r="B857" s="184" t="s">
        <v>781</v>
      </c>
      <c r="C857" s="124" t="s">
        <v>1624</v>
      </c>
      <c r="D857" s="124" t="s">
        <v>1627</v>
      </c>
      <c r="E857" s="124" t="s">
        <v>724</v>
      </c>
      <c r="F857" s="124" t="s">
        <v>745</v>
      </c>
      <c r="G857" s="135">
        <f>8284.5</f>
        <v>8284.5</v>
      </c>
      <c r="H857" s="135">
        <f>8284.5+30</f>
        <v>8314.5</v>
      </c>
      <c r="K857" s="135">
        <v>8225.5</v>
      </c>
      <c r="L857" s="604">
        <f t="shared" si="58"/>
        <v>99.28782666425252</v>
      </c>
      <c r="M857" s="605">
        <f t="shared" si="59"/>
        <v>98.92958085272716</v>
      </c>
    </row>
    <row r="858" spans="1:13" ht="24">
      <c r="A858" s="134" t="s">
        <v>13</v>
      </c>
      <c r="B858" s="184" t="s">
        <v>781</v>
      </c>
      <c r="C858" s="124" t="s">
        <v>1624</v>
      </c>
      <c r="D858" s="124" t="s">
        <v>1627</v>
      </c>
      <c r="E858" s="124" t="s">
        <v>725</v>
      </c>
      <c r="F858" s="124"/>
      <c r="G858" s="132">
        <f>G859+G861</f>
        <v>32.5</v>
      </c>
      <c r="H858" s="132">
        <f>H859+H861</f>
        <v>32.5</v>
      </c>
      <c r="K858" s="132">
        <f>K859+K861</f>
        <v>27</v>
      </c>
      <c r="L858" s="604">
        <f t="shared" si="58"/>
        <v>83.07692307692308</v>
      </c>
      <c r="M858" s="605">
        <f t="shared" si="59"/>
        <v>83.07692307692308</v>
      </c>
    </row>
    <row r="859" spans="1:13" ht="24">
      <c r="A859" s="134" t="s">
        <v>782</v>
      </c>
      <c r="B859" s="184" t="s">
        <v>781</v>
      </c>
      <c r="C859" s="124" t="s">
        <v>1624</v>
      </c>
      <c r="D859" s="124" t="s">
        <v>1627</v>
      </c>
      <c r="E859" s="124" t="s">
        <v>725</v>
      </c>
      <c r="F859" s="124" t="s">
        <v>1704</v>
      </c>
      <c r="G859" s="132">
        <f>G860</f>
        <v>1</v>
      </c>
      <c r="H859" s="132">
        <f>H860</f>
        <v>1</v>
      </c>
      <c r="K859" s="132">
        <f>K860</f>
        <v>0</v>
      </c>
      <c r="L859" s="604">
        <f t="shared" si="58"/>
        <v>0</v>
      </c>
      <c r="M859" s="605">
        <f t="shared" si="59"/>
        <v>0</v>
      </c>
    </row>
    <row r="860" spans="1:13" ht="24">
      <c r="A860" s="134" t="s">
        <v>1718</v>
      </c>
      <c r="B860" s="184" t="s">
        <v>781</v>
      </c>
      <c r="C860" s="124" t="s">
        <v>1624</v>
      </c>
      <c r="D860" s="124" t="s">
        <v>1627</v>
      </c>
      <c r="E860" s="124" t="s">
        <v>725</v>
      </c>
      <c r="F860" s="124" t="s">
        <v>1619</v>
      </c>
      <c r="G860" s="135">
        <v>1</v>
      </c>
      <c r="H860" s="135">
        <v>1</v>
      </c>
      <c r="K860" s="135">
        <v>0</v>
      </c>
      <c r="L860" s="604">
        <f t="shared" si="58"/>
        <v>0</v>
      </c>
      <c r="M860" s="605">
        <f t="shared" si="59"/>
        <v>0</v>
      </c>
    </row>
    <row r="861" spans="1:13" ht="15">
      <c r="A861" s="130" t="s">
        <v>1705</v>
      </c>
      <c r="B861" s="184" t="s">
        <v>781</v>
      </c>
      <c r="C861" s="124" t="s">
        <v>1624</v>
      </c>
      <c r="D861" s="124" t="s">
        <v>1627</v>
      </c>
      <c r="E861" s="124" t="s">
        <v>725</v>
      </c>
      <c r="F861" s="124" t="s">
        <v>1706</v>
      </c>
      <c r="G861" s="132">
        <f>G862</f>
        <v>31.5</v>
      </c>
      <c r="H861" s="132">
        <f>H862</f>
        <v>31.5</v>
      </c>
      <c r="K861" s="132">
        <f>K862</f>
        <v>27</v>
      </c>
      <c r="L861" s="604">
        <f t="shared" si="58"/>
        <v>85.71428571428571</v>
      </c>
      <c r="M861" s="605">
        <f t="shared" si="59"/>
        <v>85.71428571428571</v>
      </c>
    </row>
    <row r="862" spans="1:13" ht="15">
      <c r="A862" s="129" t="s">
        <v>562</v>
      </c>
      <c r="B862" s="184" t="s">
        <v>781</v>
      </c>
      <c r="C862" s="124" t="s">
        <v>1624</v>
      </c>
      <c r="D862" s="124" t="s">
        <v>1627</v>
      </c>
      <c r="E862" s="124" t="s">
        <v>725</v>
      </c>
      <c r="F862" s="124" t="s">
        <v>745</v>
      </c>
      <c r="G862" s="135">
        <f>32.4-0.9</f>
        <v>31.5</v>
      </c>
      <c r="H862" s="135">
        <f>32.4-0.9</f>
        <v>31.5</v>
      </c>
      <c r="K862" s="135">
        <v>27</v>
      </c>
      <c r="L862" s="604">
        <f t="shared" si="58"/>
        <v>85.71428571428571</v>
      </c>
      <c r="M862" s="605">
        <f t="shared" si="59"/>
        <v>85.71428571428571</v>
      </c>
    </row>
    <row r="863" spans="1:13" ht="24">
      <c r="A863" s="134" t="s">
        <v>22</v>
      </c>
      <c r="B863" s="184" t="s">
        <v>781</v>
      </c>
      <c r="C863" s="124" t="s">
        <v>1624</v>
      </c>
      <c r="D863" s="124" t="s">
        <v>1627</v>
      </c>
      <c r="E863" s="124" t="s">
        <v>726</v>
      </c>
      <c r="F863" s="124"/>
      <c r="G863" s="132">
        <f>G864</f>
        <v>300</v>
      </c>
      <c r="H863" s="132">
        <f>H864</f>
        <v>182</v>
      </c>
      <c r="K863" s="132">
        <f>K864</f>
        <v>100.5</v>
      </c>
      <c r="L863" s="604">
        <f t="shared" si="58"/>
        <v>33.5</v>
      </c>
      <c r="M863" s="605">
        <f t="shared" si="59"/>
        <v>55.219780219780226</v>
      </c>
    </row>
    <row r="864" spans="1:13" ht="15">
      <c r="A864" s="130" t="s">
        <v>1705</v>
      </c>
      <c r="B864" s="184" t="s">
        <v>781</v>
      </c>
      <c r="C864" s="124" t="s">
        <v>1624</v>
      </c>
      <c r="D864" s="124" t="s">
        <v>1627</v>
      </c>
      <c r="E864" s="124" t="s">
        <v>726</v>
      </c>
      <c r="F864" s="124" t="s">
        <v>1706</v>
      </c>
      <c r="G864" s="132">
        <f>G865</f>
        <v>300</v>
      </c>
      <c r="H864" s="132">
        <f>H865</f>
        <v>182</v>
      </c>
      <c r="K864" s="132">
        <f>K865</f>
        <v>100.5</v>
      </c>
      <c r="L864" s="604">
        <f t="shared" si="58"/>
        <v>33.5</v>
      </c>
      <c r="M864" s="605">
        <f t="shared" si="59"/>
        <v>55.219780219780226</v>
      </c>
    </row>
    <row r="865" spans="1:13" ht="15">
      <c r="A865" s="129" t="s">
        <v>562</v>
      </c>
      <c r="B865" s="184" t="s">
        <v>781</v>
      </c>
      <c r="C865" s="124" t="s">
        <v>1624</v>
      </c>
      <c r="D865" s="124" t="s">
        <v>1627</v>
      </c>
      <c r="E865" s="124" t="s">
        <v>726</v>
      </c>
      <c r="F865" s="124" t="s">
        <v>745</v>
      </c>
      <c r="G865" s="135">
        <f>300</f>
        <v>300</v>
      </c>
      <c r="H865" s="135">
        <f>300-50-68</f>
        <v>182</v>
      </c>
      <c r="K865" s="135">
        <v>100.5</v>
      </c>
      <c r="L865" s="604">
        <f t="shared" si="58"/>
        <v>33.5</v>
      </c>
      <c r="M865" s="605">
        <f t="shared" si="59"/>
        <v>55.219780219780226</v>
      </c>
    </row>
    <row r="866" spans="1:13" ht="24">
      <c r="A866" s="134" t="s">
        <v>819</v>
      </c>
      <c r="B866" s="184" t="s">
        <v>781</v>
      </c>
      <c r="C866" s="124" t="s">
        <v>1624</v>
      </c>
      <c r="D866" s="124" t="s">
        <v>1627</v>
      </c>
      <c r="E866" s="124" t="s">
        <v>727</v>
      </c>
      <c r="F866" s="124"/>
      <c r="G866" s="132">
        <f>G867+G869</f>
        <v>1000</v>
      </c>
      <c r="H866" s="132">
        <f>H867+H869</f>
        <v>6128.5</v>
      </c>
      <c r="K866" s="132">
        <f>K867+K869</f>
        <v>6104.2</v>
      </c>
      <c r="L866" s="604">
        <f t="shared" si="58"/>
        <v>610.42</v>
      </c>
      <c r="M866" s="605">
        <f t="shared" si="59"/>
        <v>99.60349188218977</v>
      </c>
    </row>
    <row r="867" spans="1:13" ht="24">
      <c r="A867" s="134" t="s">
        <v>782</v>
      </c>
      <c r="B867" s="184" t="s">
        <v>781</v>
      </c>
      <c r="C867" s="124" t="s">
        <v>1624</v>
      </c>
      <c r="D867" s="124" t="s">
        <v>1627</v>
      </c>
      <c r="E867" s="124" t="s">
        <v>727</v>
      </c>
      <c r="F867" s="124" t="s">
        <v>1704</v>
      </c>
      <c r="G867" s="132">
        <f>G868</f>
        <v>20</v>
      </c>
      <c r="H867" s="132">
        <f>H868</f>
        <v>20</v>
      </c>
      <c r="K867" s="132">
        <f>K868</f>
        <v>1.9</v>
      </c>
      <c r="L867" s="604">
        <f t="shared" si="58"/>
        <v>9.5</v>
      </c>
      <c r="M867" s="605">
        <f t="shared" si="59"/>
        <v>9.5</v>
      </c>
    </row>
    <row r="868" spans="1:13" ht="24">
      <c r="A868" s="134" t="s">
        <v>1718</v>
      </c>
      <c r="B868" s="184" t="s">
        <v>781</v>
      </c>
      <c r="C868" s="124" t="s">
        <v>1624</v>
      </c>
      <c r="D868" s="124" t="s">
        <v>1627</v>
      </c>
      <c r="E868" s="124" t="s">
        <v>727</v>
      </c>
      <c r="F868" s="124" t="s">
        <v>1619</v>
      </c>
      <c r="G868" s="135">
        <v>20</v>
      </c>
      <c r="H868" s="135">
        <v>20</v>
      </c>
      <c r="K868" s="135">
        <v>1.9</v>
      </c>
      <c r="L868" s="604">
        <f t="shared" si="58"/>
        <v>9.5</v>
      </c>
      <c r="M868" s="605">
        <f t="shared" si="59"/>
        <v>9.5</v>
      </c>
    </row>
    <row r="869" spans="1:13" ht="15">
      <c r="A869" s="130" t="s">
        <v>1705</v>
      </c>
      <c r="B869" s="184" t="s">
        <v>781</v>
      </c>
      <c r="C869" s="124" t="s">
        <v>1624</v>
      </c>
      <c r="D869" s="124" t="s">
        <v>1627</v>
      </c>
      <c r="E869" s="124" t="s">
        <v>727</v>
      </c>
      <c r="F869" s="124" t="s">
        <v>1706</v>
      </c>
      <c r="G869" s="132">
        <f>G870</f>
        <v>980</v>
      </c>
      <c r="H869" s="132">
        <f>H870</f>
        <v>6108.5</v>
      </c>
      <c r="K869" s="132">
        <f>K870</f>
        <v>6102.3</v>
      </c>
      <c r="L869" s="604">
        <f t="shared" si="58"/>
        <v>622.6836734693878</v>
      </c>
      <c r="M869" s="605">
        <f t="shared" si="59"/>
        <v>99.89850208725547</v>
      </c>
    </row>
    <row r="870" spans="1:13" ht="15">
      <c r="A870" s="129" t="s">
        <v>562</v>
      </c>
      <c r="B870" s="184" t="s">
        <v>781</v>
      </c>
      <c r="C870" s="124" t="s">
        <v>1624</v>
      </c>
      <c r="D870" s="124" t="s">
        <v>1627</v>
      </c>
      <c r="E870" s="124" t="s">
        <v>727</v>
      </c>
      <c r="F870" s="124" t="s">
        <v>745</v>
      </c>
      <c r="G870" s="135">
        <f>1000-20</f>
        <v>980</v>
      </c>
      <c r="H870" s="135">
        <f>1000-20+120+60+465+1053.8+420+1844.7+120+30+150+90+285+400+60+30</f>
        <v>6108.5</v>
      </c>
      <c r="K870" s="135">
        <v>6102.3</v>
      </c>
      <c r="L870" s="604">
        <f t="shared" si="58"/>
        <v>622.6836734693878</v>
      </c>
      <c r="M870" s="605">
        <f t="shared" si="59"/>
        <v>99.89850208725547</v>
      </c>
    </row>
    <row r="871" spans="1:13" ht="24">
      <c r="A871" s="129" t="s">
        <v>53</v>
      </c>
      <c r="B871" s="184" t="s">
        <v>781</v>
      </c>
      <c r="C871" s="124" t="s">
        <v>1624</v>
      </c>
      <c r="D871" s="124" t="s">
        <v>1627</v>
      </c>
      <c r="E871" s="124" t="s">
        <v>54</v>
      </c>
      <c r="F871" s="124"/>
      <c r="G871" s="154">
        <f>G872</f>
        <v>0</v>
      </c>
      <c r="H871" s="154">
        <f>H872</f>
        <v>232</v>
      </c>
      <c r="K871" s="154">
        <f>K872</f>
        <v>231.2</v>
      </c>
      <c r="L871" s="604">
        <v>0</v>
      </c>
      <c r="M871" s="605">
        <f t="shared" si="59"/>
        <v>99.6551724137931</v>
      </c>
    </row>
    <row r="872" spans="1:13" ht="15">
      <c r="A872" s="130" t="s">
        <v>1705</v>
      </c>
      <c r="B872" s="184" t="s">
        <v>781</v>
      </c>
      <c r="C872" s="124" t="s">
        <v>1624</v>
      </c>
      <c r="D872" s="124" t="s">
        <v>1627</v>
      </c>
      <c r="E872" s="124" t="s">
        <v>54</v>
      </c>
      <c r="F872" s="124" t="s">
        <v>1706</v>
      </c>
      <c r="G872" s="154">
        <f>G873</f>
        <v>0</v>
      </c>
      <c r="H872" s="154">
        <f>H873</f>
        <v>232</v>
      </c>
      <c r="K872" s="154">
        <f>K873</f>
        <v>231.2</v>
      </c>
      <c r="L872" s="604">
        <v>0</v>
      </c>
      <c r="M872" s="605">
        <f t="shared" si="59"/>
        <v>99.6551724137931</v>
      </c>
    </row>
    <row r="873" spans="1:13" ht="15">
      <c r="A873" s="129" t="s">
        <v>562</v>
      </c>
      <c r="B873" s="184" t="s">
        <v>781</v>
      </c>
      <c r="C873" s="124" t="s">
        <v>1624</v>
      </c>
      <c r="D873" s="124" t="s">
        <v>1627</v>
      </c>
      <c r="E873" s="124" t="s">
        <v>54</v>
      </c>
      <c r="F873" s="124" t="s">
        <v>745</v>
      </c>
      <c r="G873" s="135">
        <v>0</v>
      </c>
      <c r="H873" s="135">
        <v>232</v>
      </c>
      <c r="K873" s="135">
        <v>231.2</v>
      </c>
      <c r="L873" s="604">
        <v>0</v>
      </c>
      <c r="M873" s="605">
        <f t="shared" si="59"/>
        <v>99.6551724137931</v>
      </c>
    </row>
    <row r="874" spans="1:13" ht="24">
      <c r="A874" s="134" t="s">
        <v>754</v>
      </c>
      <c r="B874" s="184" t="s">
        <v>781</v>
      </c>
      <c r="C874" s="124" t="s">
        <v>1624</v>
      </c>
      <c r="D874" s="124" t="s">
        <v>1627</v>
      </c>
      <c r="E874" s="124" t="s">
        <v>728</v>
      </c>
      <c r="F874" s="124"/>
      <c r="G874" s="132">
        <f>G875+G877</f>
        <v>3000</v>
      </c>
      <c r="H874" s="132">
        <f>H875+H877</f>
        <v>3000</v>
      </c>
      <c r="K874" s="132">
        <f>K875+K877</f>
        <v>2948.4</v>
      </c>
      <c r="L874" s="604">
        <f t="shared" si="58"/>
        <v>98.28</v>
      </c>
      <c r="M874" s="605">
        <f t="shared" si="59"/>
        <v>98.28</v>
      </c>
    </row>
    <row r="875" spans="1:13" ht="24">
      <c r="A875" s="134" t="s">
        <v>782</v>
      </c>
      <c r="B875" s="184" t="s">
        <v>781</v>
      </c>
      <c r="C875" s="124" t="s">
        <v>1624</v>
      </c>
      <c r="D875" s="124" t="s">
        <v>1627</v>
      </c>
      <c r="E875" s="124" t="s">
        <v>728</v>
      </c>
      <c r="F875" s="124" t="s">
        <v>1704</v>
      </c>
      <c r="G875" s="132">
        <f>G876</f>
        <v>50</v>
      </c>
      <c r="H875" s="132">
        <f>H876</f>
        <v>50</v>
      </c>
      <c r="K875" s="132">
        <f>K876</f>
        <v>0.8</v>
      </c>
      <c r="L875" s="604">
        <f t="shared" si="58"/>
        <v>1.6</v>
      </c>
      <c r="M875" s="605">
        <f t="shared" si="59"/>
        <v>1.6</v>
      </c>
    </row>
    <row r="876" spans="1:13" ht="24">
      <c r="A876" s="134" t="s">
        <v>1718</v>
      </c>
      <c r="B876" s="184" t="s">
        <v>781</v>
      </c>
      <c r="C876" s="124" t="s">
        <v>1624</v>
      </c>
      <c r="D876" s="124" t="s">
        <v>1627</v>
      </c>
      <c r="E876" s="124" t="s">
        <v>728</v>
      </c>
      <c r="F876" s="124" t="s">
        <v>1619</v>
      </c>
      <c r="G876" s="135">
        <v>50</v>
      </c>
      <c r="H876" s="135">
        <v>50</v>
      </c>
      <c r="K876" s="135">
        <v>0.8</v>
      </c>
      <c r="L876" s="604">
        <f t="shared" si="58"/>
        <v>1.6</v>
      </c>
      <c r="M876" s="605">
        <f t="shared" si="59"/>
        <v>1.6</v>
      </c>
    </row>
    <row r="877" spans="1:13" ht="15">
      <c r="A877" s="130" t="s">
        <v>1705</v>
      </c>
      <c r="B877" s="184" t="s">
        <v>781</v>
      </c>
      <c r="C877" s="124" t="s">
        <v>1624</v>
      </c>
      <c r="D877" s="124" t="s">
        <v>1627</v>
      </c>
      <c r="E877" s="124" t="s">
        <v>728</v>
      </c>
      <c r="F877" s="124" t="s">
        <v>1706</v>
      </c>
      <c r="G877" s="132">
        <f>G878</f>
        <v>2950</v>
      </c>
      <c r="H877" s="132">
        <f>H878</f>
        <v>2950</v>
      </c>
      <c r="K877" s="132">
        <f>K878</f>
        <v>2947.6</v>
      </c>
      <c r="L877" s="604">
        <f t="shared" si="58"/>
        <v>99.9186440677966</v>
      </c>
      <c r="M877" s="605">
        <f t="shared" si="59"/>
        <v>99.9186440677966</v>
      </c>
    </row>
    <row r="878" spans="1:13" ht="15">
      <c r="A878" s="129" t="s">
        <v>562</v>
      </c>
      <c r="B878" s="184" t="s">
        <v>781</v>
      </c>
      <c r="C878" s="124" t="s">
        <v>1624</v>
      </c>
      <c r="D878" s="124" t="s">
        <v>1627</v>
      </c>
      <c r="E878" s="124" t="s">
        <v>728</v>
      </c>
      <c r="F878" s="124" t="s">
        <v>745</v>
      </c>
      <c r="G878" s="135">
        <v>2950</v>
      </c>
      <c r="H878" s="135">
        <v>2950</v>
      </c>
      <c r="K878" s="135">
        <v>2947.6</v>
      </c>
      <c r="L878" s="604">
        <f t="shared" si="58"/>
        <v>99.9186440677966</v>
      </c>
      <c r="M878" s="605">
        <f t="shared" si="59"/>
        <v>99.9186440677966</v>
      </c>
    </row>
    <row r="879" spans="1:13" ht="60">
      <c r="A879" s="161" t="s">
        <v>738</v>
      </c>
      <c r="B879" s="184" t="s">
        <v>781</v>
      </c>
      <c r="C879" s="124" t="s">
        <v>1624</v>
      </c>
      <c r="D879" s="124" t="s">
        <v>1627</v>
      </c>
      <c r="E879" s="124" t="s">
        <v>729</v>
      </c>
      <c r="F879" s="124"/>
      <c r="G879" s="132">
        <f>G880</f>
        <v>1270</v>
      </c>
      <c r="H879" s="132">
        <f>H880</f>
        <v>1270</v>
      </c>
      <c r="K879" s="132">
        <f>K880</f>
        <v>1270</v>
      </c>
      <c r="L879" s="604">
        <f t="shared" si="58"/>
        <v>100</v>
      </c>
      <c r="M879" s="605">
        <f t="shared" si="59"/>
        <v>100</v>
      </c>
    </row>
    <row r="880" spans="1:13" ht="15">
      <c r="A880" s="130" t="s">
        <v>1705</v>
      </c>
      <c r="B880" s="184" t="s">
        <v>781</v>
      </c>
      <c r="C880" s="124" t="s">
        <v>1624</v>
      </c>
      <c r="D880" s="124" t="s">
        <v>1627</v>
      </c>
      <c r="E880" s="124" t="s">
        <v>729</v>
      </c>
      <c r="F880" s="124" t="s">
        <v>1706</v>
      </c>
      <c r="G880" s="132">
        <f>G881</f>
        <v>1270</v>
      </c>
      <c r="H880" s="132">
        <f>H881</f>
        <v>1270</v>
      </c>
      <c r="K880" s="132">
        <f>K881</f>
        <v>1270</v>
      </c>
      <c r="L880" s="604">
        <f t="shared" si="58"/>
        <v>100</v>
      </c>
      <c r="M880" s="605">
        <f t="shared" si="59"/>
        <v>100</v>
      </c>
    </row>
    <row r="881" spans="1:13" ht="24">
      <c r="A881" s="134" t="s">
        <v>977</v>
      </c>
      <c r="B881" s="184" t="s">
        <v>781</v>
      </c>
      <c r="C881" s="124" t="s">
        <v>1624</v>
      </c>
      <c r="D881" s="124" t="s">
        <v>1627</v>
      </c>
      <c r="E881" s="124" t="s">
        <v>729</v>
      </c>
      <c r="F881" s="124" t="s">
        <v>846</v>
      </c>
      <c r="G881" s="135">
        <v>1270</v>
      </c>
      <c r="H881" s="135">
        <v>1270</v>
      </c>
      <c r="K881" s="135">
        <v>1270</v>
      </c>
      <c r="L881" s="604">
        <f t="shared" si="58"/>
        <v>100</v>
      </c>
      <c r="M881" s="605">
        <f t="shared" si="59"/>
        <v>100</v>
      </c>
    </row>
    <row r="882" spans="1:13" ht="24">
      <c r="A882" s="134" t="s">
        <v>1636</v>
      </c>
      <c r="B882" s="184" t="s">
        <v>781</v>
      </c>
      <c r="C882" s="124" t="s">
        <v>1624</v>
      </c>
      <c r="D882" s="124" t="s">
        <v>1627</v>
      </c>
      <c r="E882" s="124" t="s">
        <v>730</v>
      </c>
      <c r="F882" s="124"/>
      <c r="G882" s="132">
        <f>G883</f>
        <v>4000</v>
      </c>
      <c r="H882" s="132">
        <f>H883</f>
        <v>4000</v>
      </c>
      <c r="K882" s="132">
        <f>K883</f>
        <v>3371.5</v>
      </c>
      <c r="L882" s="604">
        <f t="shared" si="58"/>
        <v>84.28750000000001</v>
      </c>
      <c r="M882" s="605">
        <f t="shared" si="59"/>
        <v>84.28750000000001</v>
      </c>
    </row>
    <row r="883" spans="1:13" ht="15">
      <c r="A883" s="130" t="s">
        <v>1705</v>
      </c>
      <c r="B883" s="184" t="s">
        <v>781</v>
      </c>
      <c r="C883" s="124" t="s">
        <v>1624</v>
      </c>
      <c r="D883" s="124" t="s">
        <v>1627</v>
      </c>
      <c r="E883" s="124" t="s">
        <v>730</v>
      </c>
      <c r="F883" s="124" t="s">
        <v>1706</v>
      </c>
      <c r="G883" s="132">
        <f>G884</f>
        <v>4000</v>
      </c>
      <c r="H883" s="132">
        <f>H884</f>
        <v>4000</v>
      </c>
      <c r="K883" s="132">
        <f>K884</f>
        <v>3371.5</v>
      </c>
      <c r="L883" s="604">
        <f t="shared" si="58"/>
        <v>84.28750000000001</v>
      </c>
      <c r="M883" s="605">
        <f t="shared" si="59"/>
        <v>84.28750000000001</v>
      </c>
    </row>
    <row r="884" spans="1:13" ht="15">
      <c r="A884" s="129" t="s">
        <v>562</v>
      </c>
      <c r="B884" s="184" t="s">
        <v>781</v>
      </c>
      <c r="C884" s="124" t="s">
        <v>1624</v>
      </c>
      <c r="D884" s="124" t="s">
        <v>1627</v>
      </c>
      <c r="E884" s="124" t="s">
        <v>730</v>
      </c>
      <c r="F884" s="124" t="s">
        <v>745</v>
      </c>
      <c r="G884" s="135">
        <v>4000</v>
      </c>
      <c r="H884" s="135">
        <v>4000</v>
      </c>
      <c r="K884" s="135">
        <v>3371.5</v>
      </c>
      <c r="L884" s="604">
        <f t="shared" si="58"/>
        <v>84.28750000000001</v>
      </c>
      <c r="M884" s="605">
        <f t="shared" si="59"/>
        <v>84.28750000000001</v>
      </c>
    </row>
    <row r="885" spans="1:13" ht="24">
      <c r="A885" s="152" t="s">
        <v>1034</v>
      </c>
      <c r="B885" s="184" t="s">
        <v>781</v>
      </c>
      <c r="C885" s="124" t="s">
        <v>1624</v>
      </c>
      <c r="D885" s="124" t="s">
        <v>1627</v>
      </c>
      <c r="E885" s="124" t="s">
        <v>408</v>
      </c>
      <c r="F885" s="124"/>
      <c r="G885" s="154">
        <f>G886</f>
        <v>0</v>
      </c>
      <c r="H885" s="154">
        <f>H886</f>
        <v>5240</v>
      </c>
      <c r="K885" s="154">
        <f>K886</f>
        <v>4950.6</v>
      </c>
      <c r="L885" s="604">
        <v>0</v>
      </c>
      <c r="M885" s="605">
        <f t="shared" si="59"/>
        <v>94.47709923664122</v>
      </c>
    </row>
    <row r="886" spans="1:13" ht="15">
      <c r="A886" s="130" t="s">
        <v>1705</v>
      </c>
      <c r="B886" s="184" t="s">
        <v>606</v>
      </c>
      <c r="C886" s="124" t="s">
        <v>1624</v>
      </c>
      <c r="D886" s="124" t="s">
        <v>1627</v>
      </c>
      <c r="E886" s="124" t="s">
        <v>408</v>
      </c>
      <c r="F886" s="124" t="s">
        <v>1706</v>
      </c>
      <c r="G886" s="154">
        <f>G887</f>
        <v>0</v>
      </c>
      <c r="H886" s="154">
        <f>H887</f>
        <v>5240</v>
      </c>
      <c r="K886" s="154">
        <f>K887</f>
        <v>4950.6</v>
      </c>
      <c r="L886" s="604">
        <v>0</v>
      </c>
      <c r="M886" s="605">
        <f t="shared" si="59"/>
        <v>94.47709923664122</v>
      </c>
    </row>
    <row r="887" spans="1:13" ht="15">
      <c r="A887" s="129" t="s">
        <v>562</v>
      </c>
      <c r="B887" s="184" t="s">
        <v>781</v>
      </c>
      <c r="C887" s="124" t="s">
        <v>1624</v>
      </c>
      <c r="D887" s="124" t="s">
        <v>1627</v>
      </c>
      <c r="E887" s="124" t="s">
        <v>408</v>
      </c>
      <c r="F887" s="124" t="s">
        <v>745</v>
      </c>
      <c r="G887" s="135">
        <v>0</v>
      </c>
      <c r="H887" s="135">
        <f>5640-400</f>
        <v>5240</v>
      </c>
      <c r="K887" s="135">
        <v>4950.6</v>
      </c>
      <c r="L887" s="604">
        <v>0</v>
      </c>
      <c r="M887" s="605">
        <f t="shared" si="59"/>
        <v>94.47709923664122</v>
      </c>
    </row>
    <row r="888" spans="1:13" ht="36">
      <c r="A888" s="130" t="s">
        <v>1492</v>
      </c>
      <c r="B888" s="184" t="s">
        <v>781</v>
      </c>
      <c r="C888" s="124" t="s">
        <v>1624</v>
      </c>
      <c r="D888" s="124" t="s">
        <v>1627</v>
      </c>
      <c r="E888" s="124" t="s">
        <v>731</v>
      </c>
      <c r="F888" s="124"/>
      <c r="G888" s="132">
        <f>G889+G891</f>
        <v>22266</v>
      </c>
      <c r="H888" s="132">
        <f>H889+H891</f>
        <v>31017</v>
      </c>
      <c r="K888" s="132">
        <f>K889+K891</f>
        <v>28761.7</v>
      </c>
      <c r="L888" s="604">
        <f t="shared" si="58"/>
        <v>129.17317883768976</v>
      </c>
      <c r="M888" s="605">
        <f t="shared" si="59"/>
        <v>92.72882612760745</v>
      </c>
    </row>
    <row r="889" spans="1:13" ht="24">
      <c r="A889" s="134" t="s">
        <v>782</v>
      </c>
      <c r="B889" s="184" t="s">
        <v>781</v>
      </c>
      <c r="C889" s="124" t="s">
        <v>1624</v>
      </c>
      <c r="D889" s="124" t="s">
        <v>1627</v>
      </c>
      <c r="E889" s="124" t="s">
        <v>731</v>
      </c>
      <c r="F889" s="124" t="s">
        <v>1704</v>
      </c>
      <c r="G889" s="132">
        <f>G890</f>
        <v>165.8</v>
      </c>
      <c r="H889" s="132">
        <f>H890</f>
        <v>230.9</v>
      </c>
      <c r="K889" s="132">
        <f>K890</f>
        <v>214.4</v>
      </c>
      <c r="L889" s="604">
        <f t="shared" si="58"/>
        <v>129.3124246079614</v>
      </c>
      <c r="M889" s="605">
        <f t="shared" si="59"/>
        <v>92.85404937202252</v>
      </c>
    </row>
    <row r="890" spans="1:13" ht="24">
      <c r="A890" s="134" t="s">
        <v>1718</v>
      </c>
      <c r="B890" s="184" t="s">
        <v>781</v>
      </c>
      <c r="C890" s="124" t="s">
        <v>1624</v>
      </c>
      <c r="D890" s="124" t="s">
        <v>1627</v>
      </c>
      <c r="E890" s="124" t="s">
        <v>731</v>
      </c>
      <c r="F890" s="124" t="s">
        <v>1619</v>
      </c>
      <c r="G890" s="135">
        <v>165.8</v>
      </c>
      <c r="H890" s="135">
        <v>230.9</v>
      </c>
      <c r="K890" s="135">
        <v>214.4</v>
      </c>
      <c r="L890" s="604">
        <f t="shared" si="58"/>
        <v>129.3124246079614</v>
      </c>
      <c r="M890" s="605">
        <f t="shared" si="59"/>
        <v>92.85404937202252</v>
      </c>
    </row>
    <row r="891" spans="1:13" ht="15">
      <c r="A891" s="130" t="s">
        <v>1705</v>
      </c>
      <c r="B891" s="184" t="s">
        <v>781</v>
      </c>
      <c r="C891" s="124" t="s">
        <v>1624</v>
      </c>
      <c r="D891" s="124" t="s">
        <v>1627</v>
      </c>
      <c r="E891" s="124" t="s">
        <v>731</v>
      </c>
      <c r="F891" s="124" t="s">
        <v>1706</v>
      </c>
      <c r="G891" s="132">
        <f>G892</f>
        <v>22100.2</v>
      </c>
      <c r="H891" s="132">
        <f>H892</f>
        <v>30786.1</v>
      </c>
      <c r="K891" s="132">
        <f>K892</f>
        <v>28547.3</v>
      </c>
      <c r="L891" s="604">
        <f t="shared" si="58"/>
        <v>129.17213418883085</v>
      </c>
      <c r="M891" s="605">
        <f t="shared" si="59"/>
        <v>92.72788693598734</v>
      </c>
    </row>
    <row r="892" spans="1:13" ht="24">
      <c r="A892" s="134" t="s">
        <v>977</v>
      </c>
      <c r="B892" s="184" t="s">
        <v>781</v>
      </c>
      <c r="C892" s="124" t="s">
        <v>1624</v>
      </c>
      <c r="D892" s="124" t="s">
        <v>1627</v>
      </c>
      <c r="E892" s="124" t="s">
        <v>731</v>
      </c>
      <c r="F892" s="124" t="s">
        <v>846</v>
      </c>
      <c r="G892" s="135">
        <v>22100.2</v>
      </c>
      <c r="H892" s="135">
        <v>30786.1</v>
      </c>
      <c r="K892" s="135">
        <v>28547.3</v>
      </c>
      <c r="L892" s="604">
        <f t="shared" si="58"/>
        <v>129.17213418883085</v>
      </c>
      <c r="M892" s="605">
        <f t="shared" si="59"/>
        <v>92.72788693598734</v>
      </c>
    </row>
    <row r="893" spans="1:13" ht="24">
      <c r="A893" s="141" t="s">
        <v>685</v>
      </c>
      <c r="B893" s="184" t="s">
        <v>781</v>
      </c>
      <c r="C893" s="124" t="s">
        <v>1624</v>
      </c>
      <c r="D893" s="124" t="s">
        <v>1627</v>
      </c>
      <c r="E893" s="124" t="s">
        <v>1485</v>
      </c>
      <c r="F893" s="124"/>
      <c r="G893" s="132">
        <f aca="true" t="shared" si="60" ref="G893:H895">G894</f>
        <v>500</v>
      </c>
      <c r="H893" s="132">
        <f t="shared" si="60"/>
        <v>500</v>
      </c>
      <c r="K893" s="132">
        <f>K894</f>
        <v>449.9</v>
      </c>
      <c r="L893" s="604">
        <f t="shared" si="58"/>
        <v>89.97999999999999</v>
      </c>
      <c r="M893" s="605">
        <f t="shared" si="59"/>
        <v>89.97999999999999</v>
      </c>
    </row>
    <row r="894" spans="1:13" ht="15">
      <c r="A894" s="134" t="s">
        <v>1046</v>
      </c>
      <c r="B894" s="184" t="s">
        <v>781</v>
      </c>
      <c r="C894" s="124" t="s">
        <v>1624</v>
      </c>
      <c r="D894" s="124" t="s">
        <v>1627</v>
      </c>
      <c r="E894" s="124" t="s">
        <v>604</v>
      </c>
      <c r="F894" s="124"/>
      <c r="G894" s="132">
        <f t="shared" si="60"/>
        <v>500</v>
      </c>
      <c r="H894" s="132">
        <f t="shared" si="60"/>
        <v>500</v>
      </c>
      <c r="K894" s="132">
        <f>K895</f>
        <v>449.9</v>
      </c>
      <c r="L894" s="604">
        <f t="shared" si="58"/>
        <v>89.97999999999999</v>
      </c>
      <c r="M894" s="605">
        <f t="shared" si="59"/>
        <v>89.97999999999999</v>
      </c>
    </row>
    <row r="895" spans="1:13" ht="15">
      <c r="A895" s="174" t="s">
        <v>1705</v>
      </c>
      <c r="B895" s="184" t="s">
        <v>781</v>
      </c>
      <c r="C895" s="124" t="s">
        <v>1624</v>
      </c>
      <c r="D895" s="124" t="s">
        <v>1627</v>
      </c>
      <c r="E895" s="124" t="s">
        <v>604</v>
      </c>
      <c r="F895" s="124" t="s">
        <v>1706</v>
      </c>
      <c r="G895" s="132">
        <f t="shared" si="60"/>
        <v>500</v>
      </c>
      <c r="H895" s="132">
        <f t="shared" si="60"/>
        <v>500</v>
      </c>
      <c r="K895" s="132">
        <f>K896</f>
        <v>449.9</v>
      </c>
      <c r="L895" s="604">
        <f t="shared" si="58"/>
        <v>89.97999999999999</v>
      </c>
      <c r="M895" s="605">
        <f t="shared" si="59"/>
        <v>89.97999999999999</v>
      </c>
    </row>
    <row r="896" spans="1:13" ht="24">
      <c r="A896" s="134" t="s">
        <v>977</v>
      </c>
      <c r="B896" s="184" t="s">
        <v>781</v>
      </c>
      <c r="C896" s="124" t="s">
        <v>1624</v>
      </c>
      <c r="D896" s="124" t="s">
        <v>1627</v>
      </c>
      <c r="E896" s="124" t="s">
        <v>604</v>
      </c>
      <c r="F896" s="124" t="s">
        <v>846</v>
      </c>
      <c r="G896" s="135">
        <v>500</v>
      </c>
      <c r="H896" s="135">
        <v>500</v>
      </c>
      <c r="K896" s="135">
        <v>449.9</v>
      </c>
      <c r="L896" s="604">
        <f t="shared" si="58"/>
        <v>89.97999999999999</v>
      </c>
      <c r="M896" s="605">
        <f t="shared" si="59"/>
        <v>89.97999999999999</v>
      </c>
    </row>
    <row r="897" spans="1:13" ht="24" hidden="1">
      <c r="A897" s="141" t="s">
        <v>1637</v>
      </c>
      <c r="B897" s="184" t="s">
        <v>781</v>
      </c>
      <c r="C897" s="124" t="s">
        <v>1624</v>
      </c>
      <c r="D897" s="124" t="s">
        <v>1627</v>
      </c>
      <c r="E897" s="124" t="s">
        <v>1725</v>
      </c>
      <c r="F897" s="124"/>
      <c r="G897" s="132">
        <f aca="true" t="shared" si="61" ref="G897:H900">G898</f>
        <v>0</v>
      </c>
      <c r="H897" s="132">
        <f t="shared" si="61"/>
        <v>0</v>
      </c>
      <c r="K897" s="132">
        <f>K898</f>
        <v>0</v>
      </c>
      <c r="L897" s="604" t="e">
        <f t="shared" si="58"/>
        <v>#DIV/0!</v>
      </c>
      <c r="M897" s="605" t="e">
        <f t="shared" si="59"/>
        <v>#DIV/0!</v>
      </c>
    </row>
    <row r="898" spans="1:13" ht="24" hidden="1">
      <c r="A898" s="134" t="s">
        <v>1723</v>
      </c>
      <c r="B898" s="184" t="s">
        <v>781</v>
      </c>
      <c r="C898" s="124" t="s">
        <v>1624</v>
      </c>
      <c r="D898" s="124" t="s">
        <v>1627</v>
      </c>
      <c r="E898" s="124" t="s">
        <v>1724</v>
      </c>
      <c r="F898" s="124"/>
      <c r="G898" s="132">
        <f t="shared" si="61"/>
        <v>0</v>
      </c>
      <c r="H898" s="132">
        <f t="shared" si="61"/>
        <v>0</v>
      </c>
      <c r="K898" s="132">
        <f>K899</f>
        <v>0</v>
      </c>
      <c r="L898" s="604" t="e">
        <f t="shared" si="58"/>
        <v>#DIV/0!</v>
      </c>
      <c r="M898" s="605" t="e">
        <f t="shared" si="59"/>
        <v>#DIV/0!</v>
      </c>
    </row>
    <row r="899" spans="1:13" ht="36" hidden="1">
      <c r="A899" s="161" t="s">
        <v>1425</v>
      </c>
      <c r="B899" s="184" t="s">
        <v>781</v>
      </c>
      <c r="C899" s="124" t="s">
        <v>1624</v>
      </c>
      <c r="D899" s="124" t="s">
        <v>1627</v>
      </c>
      <c r="E899" s="124" t="s">
        <v>1726</v>
      </c>
      <c r="F899" s="124"/>
      <c r="G899" s="132">
        <f t="shared" si="61"/>
        <v>0</v>
      </c>
      <c r="H899" s="132">
        <f t="shared" si="61"/>
        <v>0</v>
      </c>
      <c r="K899" s="132">
        <f>K900</f>
        <v>0</v>
      </c>
      <c r="L899" s="604" t="e">
        <f t="shared" si="58"/>
        <v>#DIV/0!</v>
      </c>
      <c r="M899" s="605" t="e">
        <f t="shared" si="59"/>
        <v>#DIV/0!</v>
      </c>
    </row>
    <row r="900" spans="1:13" ht="15" hidden="1">
      <c r="A900" s="130" t="s">
        <v>1705</v>
      </c>
      <c r="B900" s="184" t="s">
        <v>781</v>
      </c>
      <c r="C900" s="124" t="s">
        <v>1624</v>
      </c>
      <c r="D900" s="124" t="s">
        <v>1627</v>
      </c>
      <c r="E900" s="124" t="s">
        <v>1726</v>
      </c>
      <c r="F900" s="124" t="s">
        <v>1706</v>
      </c>
      <c r="G900" s="132">
        <f t="shared" si="61"/>
        <v>0</v>
      </c>
      <c r="H900" s="132">
        <f t="shared" si="61"/>
        <v>0</v>
      </c>
      <c r="K900" s="132">
        <f>K901</f>
        <v>0</v>
      </c>
      <c r="L900" s="604" t="e">
        <f t="shared" si="58"/>
        <v>#DIV/0!</v>
      </c>
      <c r="M900" s="605" t="e">
        <f t="shared" si="59"/>
        <v>#DIV/0!</v>
      </c>
    </row>
    <row r="901" spans="1:13" ht="24" hidden="1">
      <c r="A901" s="134" t="s">
        <v>977</v>
      </c>
      <c r="B901" s="184" t="s">
        <v>781</v>
      </c>
      <c r="C901" s="124" t="s">
        <v>1624</v>
      </c>
      <c r="D901" s="124" t="s">
        <v>1627</v>
      </c>
      <c r="E901" s="124" t="s">
        <v>1726</v>
      </c>
      <c r="F901" s="124" t="s">
        <v>846</v>
      </c>
      <c r="G901" s="135"/>
      <c r="H901" s="135"/>
      <c r="K901" s="135"/>
      <c r="L901" s="604" t="e">
        <f t="shared" si="58"/>
        <v>#DIV/0!</v>
      </c>
      <c r="M901" s="605" t="e">
        <f t="shared" si="59"/>
        <v>#DIV/0!</v>
      </c>
    </row>
    <row r="902" spans="1:13" ht="24">
      <c r="A902" s="134" t="s">
        <v>605</v>
      </c>
      <c r="B902" s="184" t="s">
        <v>781</v>
      </c>
      <c r="C902" s="124" t="s">
        <v>1624</v>
      </c>
      <c r="D902" s="124" t="s">
        <v>1627</v>
      </c>
      <c r="E902" s="124" t="s">
        <v>624</v>
      </c>
      <c r="F902" s="124"/>
      <c r="G902" s="132">
        <f>G904+G907+G909+G914</f>
        <v>44993</v>
      </c>
      <c r="H902" s="132">
        <f>H904+H907+H909+H914</f>
        <v>40103</v>
      </c>
      <c r="K902" s="132">
        <f>K904+K907+K909+K914</f>
        <v>37041.8</v>
      </c>
      <c r="L902" s="604">
        <f t="shared" si="58"/>
        <v>82.32791767608295</v>
      </c>
      <c r="M902" s="605">
        <f t="shared" si="59"/>
        <v>92.36665586115753</v>
      </c>
    </row>
    <row r="903" spans="1:13" ht="24">
      <c r="A903" s="152" t="s">
        <v>1034</v>
      </c>
      <c r="B903" s="184" t="s">
        <v>781</v>
      </c>
      <c r="C903" s="124" t="s">
        <v>1624</v>
      </c>
      <c r="D903" s="124" t="s">
        <v>1627</v>
      </c>
      <c r="E903" s="124" t="s">
        <v>607</v>
      </c>
      <c r="F903" s="124"/>
      <c r="G903" s="132">
        <f>G904</f>
        <v>5640</v>
      </c>
      <c r="H903" s="132">
        <f>H904</f>
        <v>0</v>
      </c>
      <c r="K903" s="132">
        <f>K904</f>
        <v>0</v>
      </c>
      <c r="L903" s="604">
        <f t="shared" si="58"/>
        <v>0</v>
      </c>
      <c r="M903" s="604">
        <v>0</v>
      </c>
    </row>
    <row r="904" spans="1:13" ht="15">
      <c r="A904" s="130" t="s">
        <v>1705</v>
      </c>
      <c r="B904" s="184" t="s">
        <v>606</v>
      </c>
      <c r="C904" s="124" t="s">
        <v>1624</v>
      </c>
      <c r="D904" s="124" t="s">
        <v>1627</v>
      </c>
      <c r="E904" s="124" t="s">
        <v>607</v>
      </c>
      <c r="F904" s="124" t="s">
        <v>1706</v>
      </c>
      <c r="G904" s="132">
        <f>G905</f>
        <v>5640</v>
      </c>
      <c r="H904" s="132">
        <f>H905</f>
        <v>0</v>
      </c>
      <c r="K904" s="132">
        <f>K905</f>
        <v>0</v>
      </c>
      <c r="L904" s="604">
        <f t="shared" si="58"/>
        <v>0</v>
      </c>
      <c r="M904" s="604">
        <v>0</v>
      </c>
    </row>
    <row r="905" spans="1:13" ht="15">
      <c r="A905" s="129" t="s">
        <v>562</v>
      </c>
      <c r="B905" s="184" t="s">
        <v>781</v>
      </c>
      <c r="C905" s="124" t="s">
        <v>1624</v>
      </c>
      <c r="D905" s="124" t="s">
        <v>1627</v>
      </c>
      <c r="E905" s="124" t="s">
        <v>607</v>
      </c>
      <c r="F905" s="124" t="s">
        <v>745</v>
      </c>
      <c r="G905" s="135">
        <f>5640</f>
        <v>5640</v>
      </c>
      <c r="H905" s="135">
        <f>5640-5640</f>
        <v>0</v>
      </c>
      <c r="K905" s="135">
        <f>5640-5640</f>
        <v>0</v>
      </c>
      <c r="L905" s="604">
        <f t="shared" si="58"/>
        <v>0</v>
      </c>
      <c r="M905" s="604">
        <v>0</v>
      </c>
    </row>
    <row r="906" spans="1:13" ht="24">
      <c r="A906" s="134" t="s">
        <v>1032</v>
      </c>
      <c r="B906" s="184" t="s">
        <v>781</v>
      </c>
      <c r="C906" s="124" t="s">
        <v>1624</v>
      </c>
      <c r="D906" s="124" t="s">
        <v>1033</v>
      </c>
      <c r="E906" s="124" t="s">
        <v>608</v>
      </c>
      <c r="F906" s="124"/>
      <c r="G906" s="135">
        <f>G907</f>
        <v>1861</v>
      </c>
      <c r="H906" s="135">
        <f>H907</f>
        <v>2166</v>
      </c>
      <c r="K906" s="135">
        <f>K907</f>
        <v>2165.5</v>
      </c>
      <c r="L906" s="604">
        <f t="shared" si="58"/>
        <v>116.36217087587319</v>
      </c>
      <c r="M906" s="605">
        <f t="shared" si="59"/>
        <v>99.97691597414588</v>
      </c>
    </row>
    <row r="907" spans="1:13" ht="15">
      <c r="A907" s="130" t="s">
        <v>1705</v>
      </c>
      <c r="B907" s="184" t="s">
        <v>606</v>
      </c>
      <c r="C907" s="124" t="s">
        <v>1624</v>
      </c>
      <c r="D907" s="124" t="s">
        <v>1627</v>
      </c>
      <c r="E907" s="124" t="s">
        <v>608</v>
      </c>
      <c r="F907" s="124" t="s">
        <v>1706</v>
      </c>
      <c r="G907" s="132">
        <f>G908</f>
        <v>1861</v>
      </c>
      <c r="H907" s="132">
        <f>H908</f>
        <v>2166</v>
      </c>
      <c r="K907" s="132">
        <f>K908</f>
        <v>2165.5</v>
      </c>
      <c r="L907" s="604">
        <f aca="true" t="shared" si="62" ref="L907:L970">K907/G907*100</f>
        <v>116.36217087587319</v>
      </c>
      <c r="M907" s="605">
        <f t="shared" si="59"/>
        <v>99.97691597414588</v>
      </c>
    </row>
    <row r="908" spans="1:13" ht="15">
      <c r="A908" s="129" t="s">
        <v>562</v>
      </c>
      <c r="B908" s="184" t="s">
        <v>781</v>
      </c>
      <c r="C908" s="124" t="s">
        <v>1624</v>
      </c>
      <c r="D908" s="124" t="s">
        <v>1627</v>
      </c>
      <c r="E908" s="124" t="s">
        <v>608</v>
      </c>
      <c r="F908" s="124" t="s">
        <v>745</v>
      </c>
      <c r="G908" s="135">
        <f>1861</f>
        <v>1861</v>
      </c>
      <c r="H908" s="135">
        <f>1861+305</f>
        <v>2166</v>
      </c>
      <c r="K908" s="135">
        <v>2165.5</v>
      </c>
      <c r="L908" s="604">
        <f t="shared" si="62"/>
        <v>116.36217087587319</v>
      </c>
      <c r="M908" s="605">
        <f t="shared" si="59"/>
        <v>99.97691597414588</v>
      </c>
    </row>
    <row r="909" spans="1:13" ht="24">
      <c r="A909" s="134" t="s">
        <v>1032</v>
      </c>
      <c r="B909" s="184" t="s">
        <v>781</v>
      </c>
      <c r="C909" s="124" t="s">
        <v>1624</v>
      </c>
      <c r="D909" s="124" t="s">
        <v>1627</v>
      </c>
      <c r="E909" s="124" t="s">
        <v>609</v>
      </c>
      <c r="F909" s="124"/>
      <c r="G909" s="132">
        <f>G910+G912</f>
        <v>10501</v>
      </c>
      <c r="H909" s="132">
        <f>H910+H912</f>
        <v>10196</v>
      </c>
      <c r="K909" s="132">
        <f>K910+K912</f>
        <v>10094</v>
      </c>
      <c r="L909" s="604">
        <f t="shared" si="62"/>
        <v>96.1241786496524</v>
      </c>
      <c r="M909" s="605">
        <f aca="true" t="shared" si="63" ref="M909:M972">K909/H909*100</f>
        <v>98.99960768928992</v>
      </c>
    </row>
    <row r="910" spans="1:13" ht="24">
      <c r="A910" s="134" t="s">
        <v>782</v>
      </c>
      <c r="B910" s="184" t="s">
        <v>606</v>
      </c>
      <c r="C910" s="124" t="s">
        <v>1624</v>
      </c>
      <c r="D910" s="124" t="s">
        <v>1627</v>
      </c>
      <c r="E910" s="124" t="s">
        <v>609</v>
      </c>
      <c r="F910" s="124" t="s">
        <v>1704</v>
      </c>
      <c r="G910" s="132">
        <f>G911</f>
        <v>78.2</v>
      </c>
      <c r="H910" s="132">
        <f>H911</f>
        <v>0</v>
      </c>
      <c r="K910" s="132">
        <f>K911</f>
        <v>0</v>
      </c>
      <c r="L910" s="604">
        <f t="shared" si="62"/>
        <v>0</v>
      </c>
      <c r="M910" s="604">
        <v>0</v>
      </c>
    </row>
    <row r="911" spans="1:13" ht="24">
      <c r="A911" s="134" t="s">
        <v>1718</v>
      </c>
      <c r="B911" s="184" t="s">
        <v>606</v>
      </c>
      <c r="C911" s="124" t="s">
        <v>1624</v>
      </c>
      <c r="D911" s="124" t="s">
        <v>1627</v>
      </c>
      <c r="E911" s="124" t="s">
        <v>609</v>
      </c>
      <c r="F911" s="124" t="s">
        <v>1619</v>
      </c>
      <c r="G911" s="135">
        <f>78.2</f>
        <v>78.2</v>
      </c>
      <c r="H911" s="135">
        <f>78.2-78.2</f>
        <v>0</v>
      </c>
      <c r="K911" s="135">
        <f>78.2-78.2</f>
        <v>0</v>
      </c>
      <c r="L911" s="604">
        <f t="shared" si="62"/>
        <v>0</v>
      </c>
      <c r="M911" s="604">
        <v>0</v>
      </c>
    </row>
    <row r="912" spans="1:13" ht="15">
      <c r="A912" s="130" t="s">
        <v>1705</v>
      </c>
      <c r="B912" s="184" t="s">
        <v>606</v>
      </c>
      <c r="C912" s="124" t="s">
        <v>1624</v>
      </c>
      <c r="D912" s="124" t="s">
        <v>1627</v>
      </c>
      <c r="E912" s="124" t="s">
        <v>609</v>
      </c>
      <c r="F912" s="124" t="s">
        <v>1706</v>
      </c>
      <c r="G912" s="132">
        <f>G913</f>
        <v>10422.8</v>
      </c>
      <c r="H912" s="132">
        <f>H913</f>
        <v>10196</v>
      </c>
      <c r="K912" s="132">
        <f>K913</f>
        <v>10094</v>
      </c>
      <c r="L912" s="604">
        <f t="shared" si="62"/>
        <v>96.8453774417623</v>
      </c>
      <c r="M912" s="605">
        <f t="shared" si="63"/>
        <v>98.99960768928992</v>
      </c>
    </row>
    <row r="913" spans="1:13" ht="15">
      <c r="A913" s="129" t="s">
        <v>562</v>
      </c>
      <c r="B913" s="184" t="s">
        <v>781</v>
      </c>
      <c r="C913" s="124" t="s">
        <v>1624</v>
      </c>
      <c r="D913" s="124" t="s">
        <v>1627</v>
      </c>
      <c r="E913" s="124" t="s">
        <v>609</v>
      </c>
      <c r="F913" s="124" t="s">
        <v>745</v>
      </c>
      <c r="G913" s="135">
        <f>10501-78.2</f>
        <v>10422.8</v>
      </c>
      <c r="H913" s="135">
        <f>10501-78.2-226.8</f>
        <v>10196</v>
      </c>
      <c r="K913" s="135">
        <v>10094</v>
      </c>
      <c r="L913" s="604">
        <f t="shared" si="62"/>
        <v>96.8453774417623</v>
      </c>
      <c r="M913" s="605">
        <f t="shared" si="63"/>
        <v>98.99960768928992</v>
      </c>
    </row>
    <row r="914" spans="1:13" ht="24">
      <c r="A914" s="129" t="s">
        <v>811</v>
      </c>
      <c r="B914" s="184" t="s">
        <v>781</v>
      </c>
      <c r="C914" s="124" t="s">
        <v>1624</v>
      </c>
      <c r="D914" s="124" t="s">
        <v>1627</v>
      </c>
      <c r="E914" s="124" t="s">
        <v>810</v>
      </c>
      <c r="F914" s="124"/>
      <c r="G914" s="132">
        <f>G915</f>
        <v>26991</v>
      </c>
      <c r="H914" s="132">
        <f>H915</f>
        <v>27741</v>
      </c>
      <c r="K914" s="132">
        <f>K915</f>
        <v>24782.3</v>
      </c>
      <c r="L914" s="604">
        <f t="shared" si="62"/>
        <v>91.81690193027305</v>
      </c>
      <c r="M914" s="605">
        <f t="shared" si="63"/>
        <v>89.33455895605782</v>
      </c>
    </row>
    <row r="915" spans="1:13" ht="15">
      <c r="A915" s="174" t="s">
        <v>1705</v>
      </c>
      <c r="B915" s="184" t="s">
        <v>781</v>
      </c>
      <c r="C915" s="124" t="s">
        <v>1624</v>
      </c>
      <c r="D915" s="124" t="s">
        <v>1627</v>
      </c>
      <c r="E915" s="124" t="s">
        <v>810</v>
      </c>
      <c r="F915" s="124" t="s">
        <v>1706</v>
      </c>
      <c r="G915" s="132">
        <f>G916</f>
        <v>26991</v>
      </c>
      <c r="H915" s="132">
        <f>H916</f>
        <v>27741</v>
      </c>
      <c r="K915" s="132">
        <f>K916</f>
        <v>24782.3</v>
      </c>
      <c r="L915" s="604">
        <f t="shared" si="62"/>
        <v>91.81690193027305</v>
      </c>
      <c r="M915" s="605">
        <f t="shared" si="63"/>
        <v>89.33455895605782</v>
      </c>
    </row>
    <row r="916" spans="1:13" ht="24">
      <c r="A916" s="129" t="s">
        <v>977</v>
      </c>
      <c r="B916" s="184" t="s">
        <v>781</v>
      </c>
      <c r="C916" s="124" t="s">
        <v>1624</v>
      </c>
      <c r="D916" s="124" t="s">
        <v>1627</v>
      </c>
      <c r="E916" s="124" t="s">
        <v>810</v>
      </c>
      <c r="F916" s="124" t="s">
        <v>846</v>
      </c>
      <c r="G916" s="135">
        <f>26991</f>
        <v>26991</v>
      </c>
      <c r="H916" s="135">
        <f>26991+750</f>
        <v>27741</v>
      </c>
      <c r="K916" s="135">
        <v>24782.3</v>
      </c>
      <c r="L916" s="604">
        <f t="shared" si="62"/>
        <v>91.81690193027305</v>
      </c>
      <c r="M916" s="605">
        <f t="shared" si="63"/>
        <v>89.33455895605782</v>
      </c>
    </row>
    <row r="917" spans="1:13" ht="24">
      <c r="A917" s="141" t="s">
        <v>553</v>
      </c>
      <c r="B917" s="184" t="s">
        <v>781</v>
      </c>
      <c r="C917" s="124" t="s">
        <v>1624</v>
      </c>
      <c r="D917" s="124" t="s">
        <v>1627</v>
      </c>
      <c r="E917" s="124" t="s">
        <v>1035</v>
      </c>
      <c r="F917" s="124"/>
      <c r="G917" s="175">
        <f>G918+G932+G945+G928+G952</f>
        <v>7186.2</v>
      </c>
      <c r="H917" s="175">
        <f>H918+H932+H945+H928+H952</f>
        <v>36919.1</v>
      </c>
      <c r="K917" s="175">
        <f>K918+K932+K945+K928+K952</f>
        <v>36049.9</v>
      </c>
      <c r="L917" s="604">
        <f t="shared" si="62"/>
        <v>501.6545601291364</v>
      </c>
      <c r="M917" s="605">
        <f t="shared" si="63"/>
        <v>97.64566308496146</v>
      </c>
    </row>
    <row r="918" spans="1:13" ht="24">
      <c r="A918" s="129" t="s">
        <v>554</v>
      </c>
      <c r="B918" s="184" t="s">
        <v>781</v>
      </c>
      <c r="C918" s="124" t="s">
        <v>1624</v>
      </c>
      <c r="D918" s="124" t="s">
        <v>1627</v>
      </c>
      <c r="E918" s="124" t="s">
        <v>545</v>
      </c>
      <c r="F918" s="124"/>
      <c r="G918" s="128">
        <f>G919+G922+G925</f>
        <v>3059.1</v>
      </c>
      <c r="H918" s="128">
        <f>H919+H922+H925</f>
        <v>4875.1</v>
      </c>
      <c r="K918" s="128">
        <f>K919+K922+K925</f>
        <v>4518</v>
      </c>
      <c r="L918" s="604">
        <f t="shared" si="62"/>
        <v>147.69049720506032</v>
      </c>
      <c r="M918" s="605">
        <f t="shared" si="63"/>
        <v>92.67502205082972</v>
      </c>
    </row>
    <row r="919" spans="1:13" ht="15">
      <c r="A919" s="134" t="s">
        <v>1602</v>
      </c>
      <c r="B919" s="184" t="s">
        <v>781</v>
      </c>
      <c r="C919" s="124" t="s">
        <v>1624</v>
      </c>
      <c r="D919" s="124" t="s">
        <v>1627</v>
      </c>
      <c r="E919" s="124" t="s">
        <v>610</v>
      </c>
      <c r="F919" s="124"/>
      <c r="G919" s="128">
        <f>G920</f>
        <v>3059.1</v>
      </c>
      <c r="H919" s="128">
        <f>H920</f>
        <v>2059.1</v>
      </c>
      <c r="K919" s="128">
        <f>K920</f>
        <v>1703.1</v>
      </c>
      <c r="L919" s="604">
        <f t="shared" si="62"/>
        <v>55.67323722663529</v>
      </c>
      <c r="M919" s="605">
        <f t="shared" si="63"/>
        <v>82.7108931086397</v>
      </c>
    </row>
    <row r="920" spans="1:13" ht="15">
      <c r="A920" s="130" t="s">
        <v>1705</v>
      </c>
      <c r="B920" s="184" t="s">
        <v>781</v>
      </c>
      <c r="C920" s="124" t="s">
        <v>1624</v>
      </c>
      <c r="D920" s="124" t="s">
        <v>1627</v>
      </c>
      <c r="E920" s="124" t="s">
        <v>610</v>
      </c>
      <c r="F920" s="124" t="s">
        <v>1706</v>
      </c>
      <c r="G920" s="128">
        <f>G921</f>
        <v>3059.1</v>
      </c>
      <c r="H920" s="128">
        <f>H921</f>
        <v>2059.1</v>
      </c>
      <c r="K920" s="128">
        <f>K921</f>
        <v>1703.1</v>
      </c>
      <c r="L920" s="604">
        <f t="shared" si="62"/>
        <v>55.67323722663529</v>
      </c>
      <c r="M920" s="605">
        <f t="shared" si="63"/>
        <v>82.7108931086397</v>
      </c>
    </row>
    <row r="921" spans="1:13" ht="24">
      <c r="A921" s="134" t="s">
        <v>977</v>
      </c>
      <c r="B921" s="184" t="s">
        <v>781</v>
      </c>
      <c r="C921" s="124" t="s">
        <v>1624</v>
      </c>
      <c r="D921" s="124" t="s">
        <v>1627</v>
      </c>
      <c r="E921" s="124" t="s">
        <v>1729</v>
      </c>
      <c r="F921" s="124" t="s">
        <v>846</v>
      </c>
      <c r="G921" s="131">
        <f>3059.1</f>
        <v>3059.1</v>
      </c>
      <c r="H921" s="131">
        <f>3059.1-1000</f>
        <v>2059.1</v>
      </c>
      <c r="K921" s="131">
        <v>1703.1</v>
      </c>
      <c r="L921" s="604">
        <f t="shared" si="62"/>
        <v>55.67323722663529</v>
      </c>
      <c r="M921" s="605">
        <f t="shared" si="63"/>
        <v>82.7108931086397</v>
      </c>
    </row>
    <row r="922" spans="1:13" ht="48">
      <c r="A922" s="134" t="s">
        <v>1021</v>
      </c>
      <c r="B922" s="184" t="s">
        <v>781</v>
      </c>
      <c r="C922" s="124" t="s">
        <v>1624</v>
      </c>
      <c r="D922" s="124" t="s">
        <v>1627</v>
      </c>
      <c r="E922" s="124" t="s">
        <v>1022</v>
      </c>
      <c r="F922" s="124"/>
      <c r="G922" s="128">
        <f>G923</f>
        <v>0</v>
      </c>
      <c r="H922" s="128">
        <f>H923</f>
        <v>1112</v>
      </c>
      <c r="K922" s="128">
        <f>K923</f>
        <v>1111.9</v>
      </c>
      <c r="L922" s="604">
        <v>0</v>
      </c>
      <c r="M922" s="605">
        <f t="shared" si="63"/>
        <v>99.9910071942446</v>
      </c>
    </row>
    <row r="923" spans="1:13" ht="15">
      <c r="A923" s="130" t="s">
        <v>1705</v>
      </c>
      <c r="B923" s="184" t="s">
        <v>781</v>
      </c>
      <c r="C923" s="124" t="s">
        <v>1624</v>
      </c>
      <c r="D923" s="124" t="s">
        <v>1627</v>
      </c>
      <c r="E923" s="124" t="s">
        <v>1022</v>
      </c>
      <c r="F923" s="124" t="s">
        <v>1706</v>
      </c>
      <c r="G923" s="128">
        <f>G924</f>
        <v>0</v>
      </c>
      <c r="H923" s="128">
        <f>H924</f>
        <v>1112</v>
      </c>
      <c r="K923" s="128">
        <f>K924</f>
        <v>1111.9</v>
      </c>
      <c r="L923" s="604">
        <v>0</v>
      </c>
      <c r="M923" s="605">
        <f t="shared" si="63"/>
        <v>99.9910071942446</v>
      </c>
    </row>
    <row r="924" spans="1:13" ht="24">
      <c r="A924" s="134" t="s">
        <v>977</v>
      </c>
      <c r="B924" s="184" t="s">
        <v>781</v>
      </c>
      <c r="C924" s="124" t="s">
        <v>1624</v>
      </c>
      <c r="D924" s="124" t="s">
        <v>1627</v>
      </c>
      <c r="E924" s="124" t="s">
        <v>1022</v>
      </c>
      <c r="F924" s="124" t="s">
        <v>846</v>
      </c>
      <c r="G924" s="131">
        <v>0</v>
      </c>
      <c r="H924" s="131">
        <v>1112</v>
      </c>
      <c r="K924" s="131">
        <v>1111.9</v>
      </c>
      <c r="L924" s="604">
        <v>0</v>
      </c>
      <c r="M924" s="605">
        <f t="shared" si="63"/>
        <v>99.9910071942446</v>
      </c>
    </row>
    <row r="925" spans="1:13" ht="48">
      <c r="A925" s="134" t="s">
        <v>1023</v>
      </c>
      <c r="B925" s="184" t="s">
        <v>781</v>
      </c>
      <c r="C925" s="124" t="s">
        <v>1624</v>
      </c>
      <c r="D925" s="124" t="s">
        <v>1627</v>
      </c>
      <c r="E925" s="124" t="s">
        <v>1024</v>
      </c>
      <c r="F925" s="124"/>
      <c r="G925" s="128">
        <f>G926</f>
        <v>0</v>
      </c>
      <c r="H925" s="128">
        <f>H926</f>
        <v>1704</v>
      </c>
      <c r="K925" s="128">
        <f>K926</f>
        <v>1703</v>
      </c>
      <c r="L925" s="604">
        <v>0</v>
      </c>
      <c r="M925" s="605">
        <f t="shared" si="63"/>
        <v>99.94131455399061</v>
      </c>
    </row>
    <row r="926" spans="1:13" ht="15">
      <c r="A926" s="130" t="s">
        <v>1705</v>
      </c>
      <c r="B926" s="184" t="s">
        <v>781</v>
      </c>
      <c r="C926" s="124" t="s">
        <v>1624</v>
      </c>
      <c r="D926" s="124" t="s">
        <v>1627</v>
      </c>
      <c r="E926" s="124" t="s">
        <v>1024</v>
      </c>
      <c r="F926" s="124" t="s">
        <v>1706</v>
      </c>
      <c r="G926" s="128">
        <f>G927</f>
        <v>0</v>
      </c>
      <c r="H926" s="128">
        <f>H927</f>
        <v>1704</v>
      </c>
      <c r="K926" s="128">
        <f>K927</f>
        <v>1703</v>
      </c>
      <c r="L926" s="604">
        <v>0</v>
      </c>
      <c r="M926" s="605">
        <f t="shared" si="63"/>
        <v>99.94131455399061</v>
      </c>
    </row>
    <row r="927" spans="1:13" ht="24">
      <c r="A927" s="134" t="s">
        <v>977</v>
      </c>
      <c r="B927" s="184" t="s">
        <v>781</v>
      </c>
      <c r="C927" s="124" t="s">
        <v>1624</v>
      </c>
      <c r="D927" s="124" t="s">
        <v>1627</v>
      </c>
      <c r="E927" s="124" t="s">
        <v>1024</v>
      </c>
      <c r="F927" s="124" t="s">
        <v>846</v>
      </c>
      <c r="G927" s="131">
        <v>0</v>
      </c>
      <c r="H927" s="131">
        <v>1704</v>
      </c>
      <c r="K927" s="131">
        <v>1703</v>
      </c>
      <c r="L927" s="604">
        <v>0</v>
      </c>
      <c r="M927" s="605">
        <f t="shared" si="63"/>
        <v>99.94131455399061</v>
      </c>
    </row>
    <row r="928" spans="1:13" ht="36">
      <c r="A928" s="134" t="s">
        <v>1672</v>
      </c>
      <c r="B928" s="184" t="s">
        <v>781</v>
      </c>
      <c r="C928" s="124" t="s">
        <v>1624</v>
      </c>
      <c r="D928" s="124" t="s">
        <v>1627</v>
      </c>
      <c r="E928" s="124" t="s">
        <v>1036</v>
      </c>
      <c r="F928" s="124"/>
      <c r="G928" s="128">
        <f aca="true" t="shared" si="64" ref="G928:H930">G929</f>
        <v>1208.3</v>
      </c>
      <c r="H928" s="128">
        <f t="shared" si="64"/>
        <v>0</v>
      </c>
      <c r="K928" s="128">
        <f>K929</f>
        <v>0</v>
      </c>
      <c r="L928" s="604">
        <f t="shared" si="62"/>
        <v>0</v>
      </c>
      <c r="M928" s="604">
        <v>0</v>
      </c>
    </row>
    <row r="929" spans="1:13" ht="15">
      <c r="A929" s="134" t="s">
        <v>26</v>
      </c>
      <c r="B929" s="184" t="s">
        <v>781</v>
      </c>
      <c r="C929" s="124" t="s">
        <v>1624</v>
      </c>
      <c r="D929" s="124" t="s">
        <v>1627</v>
      </c>
      <c r="E929" s="124" t="s">
        <v>611</v>
      </c>
      <c r="F929" s="124"/>
      <c r="G929" s="128">
        <f t="shared" si="64"/>
        <v>1208.3</v>
      </c>
      <c r="H929" s="128">
        <f t="shared" si="64"/>
        <v>0</v>
      </c>
      <c r="K929" s="128">
        <f>K930</f>
        <v>0</v>
      </c>
      <c r="L929" s="604">
        <f t="shared" si="62"/>
        <v>0</v>
      </c>
      <c r="M929" s="604">
        <v>0</v>
      </c>
    </row>
    <row r="930" spans="1:13" ht="15">
      <c r="A930" s="176" t="s">
        <v>1705</v>
      </c>
      <c r="B930" s="184" t="s">
        <v>781</v>
      </c>
      <c r="C930" s="124" t="s">
        <v>1624</v>
      </c>
      <c r="D930" s="124" t="s">
        <v>1627</v>
      </c>
      <c r="E930" s="124" t="s">
        <v>611</v>
      </c>
      <c r="F930" s="124" t="s">
        <v>1706</v>
      </c>
      <c r="G930" s="132">
        <f t="shared" si="64"/>
        <v>1208.3</v>
      </c>
      <c r="H930" s="132">
        <f t="shared" si="64"/>
        <v>0</v>
      </c>
      <c r="K930" s="132">
        <f>K931</f>
        <v>0</v>
      </c>
      <c r="L930" s="604">
        <f t="shared" si="62"/>
        <v>0</v>
      </c>
      <c r="M930" s="604">
        <v>0</v>
      </c>
    </row>
    <row r="931" spans="1:13" ht="24">
      <c r="A931" s="129" t="s">
        <v>977</v>
      </c>
      <c r="B931" s="184" t="s">
        <v>781</v>
      </c>
      <c r="C931" s="124" t="s">
        <v>1624</v>
      </c>
      <c r="D931" s="124" t="s">
        <v>1627</v>
      </c>
      <c r="E931" s="124" t="s">
        <v>611</v>
      </c>
      <c r="F931" s="124" t="s">
        <v>846</v>
      </c>
      <c r="G931" s="135">
        <v>1208.3</v>
      </c>
      <c r="H931" s="135">
        <f>1366.4-158.1-505.7-702.6</f>
        <v>0</v>
      </c>
      <c r="K931" s="135">
        <f>1366.4-158.1-505.7-702.6</f>
        <v>0</v>
      </c>
      <c r="L931" s="604">
        <f t="shared" si="62"/>
        <v>0</v>
      </c>
      <c r="M931" s="604">
        <v>0</v>
      </c>
    </row>
    <row r="932" spans="1:13" ht="24">
      <c r="A932" s="129" t="s">
        <v>1673</v>
      </c>
      <c r="B932" s="184" t="s">
        <v>781</v>
      </c>
      <c r="C932" s="124" t="s">
        <v>1624</v>
      </c>
      <c r="D932" s="124" t="s">
        <v>1627</v>
      </c>
      <c r="E932" s="124" t="s">
        <v>1037</v>
      </c>
      <c r="F932" s="124"/>
      <c r="G932" s="132">
        <f>G933+G936+G942+G939</f>
        <v>2760.7</v>
      </c>
      <c r="H932" s="132">
        <f>H933+H936+H942+H939</f>
        <v>15668.9</v>
      </c>
      <c r="K932" s="132">
        <f>K933+K936+K942+K939</f>
        <v>15668</v>
      </c>
      <c r="L932" s="604">
        <f t="shared" si="62"/>
        <v>567.5372188213136</v>
      </c>
      <c r="M932" s="605">
        <f t="shared" si="63"/>
        <v>99.9942561379548</v>
      </c>
    </row>
    <row r="933" spans="1:13" ht="72">
      <c r="A933" s="177" t="s">
        <v>409</v>
      </c>
      <c r="B933" s="184" t="s">
        <v>781</v>
      </c>
      <c r="C933" s="124" t="s">
        <v>1624</v>
      </c>
      <c r="D933" s="124" t="s">
        <v>1627</v>
      </c>
      <c r="E933" s="124" t="s">
        <v>410</v>
      </c>
      <c r="F933" s="124"/>
      <c r="G933" s="132">
        <f>G934</f>
        <v>0</v>
      </c>
      <c r="H933" s="132">
        <f>H934</f>
        <v>3329.4</v>
      </c>
      <c r="K933" s="132">
        <f>K934</f>
        <v>3329.4</v>
      </c>
      <c r="L933" s="604">
        <v>0</v>
      </c>
      <c r="M933" s="605">
        <f t="shared" si="63"/>
        <v>100</v>
      </c>
    </row>
    <row r="934" spans="1:13" ht="15">
      <c r="A934" s="176" t="s">
        <v>1705</v>
      </c>
      <c r="B934" s="184" t="s">
        <v>781</v>
      </c>
      <c r="C934" s="124" t="s">
        <v>1624</v>
      </c>
      <c r="D934" s="124" t="s">
        <v>1627</v>
      </c>
      <c r="E934" s="124" t="s">
        <v>410</v>
      </c>
      <c r="F934" s="124" t="s">
        <v>1706</v>
      </c>
      <c r="G934" s="132">
        <f>G935</f>
        <v>0</v>
      </c>
      <c r="H934" s="132">
        <f>H935</f>
        <v>3329.4</v>
      </c>
      <c r="K934" s="132">
        <f>K935</f>
        <v>3329.4</v>
      </c>
      <c r="L934" s="604">
        <v>0</v>
      </c>
      <c r="M934" s="605">
        <f t="shared" si="63"/>
        <v>100</v>
      </c>
    </row>
    <row r="935" spans="1:13" ht="24">
      <c r="A935" s="176" t="s">
        <v>977</v>
      </c>
      <c r="B935" s="184" t="s">
        <v>781</v>
      </c>
      <c r="C935" s="124" t="s">
        <v>1624</v>
      </c>
      <c r="D935" s="124" t="s">
        <v>1627</v>
      </c>
      <c r="E935" s="124" t="s">
        <v>410</v>
      </c>
      <c r="F935" s="124" t="s">
        <v>846</v>
      </c>
      <c r="G935" s="135">
        <v>0</v>
      </c>
      <c r="H935" s="135">
        <v>3329.4</v>
      </c>
      <c r="K935" s="135">
        <v>3329.4</v>
      </c>
      <c r="L935" s="604">
        <v>0</v>
      </c>
      <c r="M935" s="605">
        <f t="shared" si="63"/>
        <v>100</v>
      </c>
    </row>
    <row r="936" spans="1:13" ht="60">
      <c r="A936" s="177" t="s">
        <v>411</v>
      </c>
      <c r="B936" s="184" t="s">
        <v>781</v>
      </c>
      <c r="C936" s="124" t="s">
        <v>1624</v>
      </c>
      <c r="D936" s="124" t="s">
        <v>1627</v>
      </c>
      <c r="E936" s="124" t="s">
        <v>412</v>
      </c>
      <c r="F936" s="124"/>
      <c r="G936" s="132">
        <f>G937</f>
        <v>0</v>
      </c>
      <c r="H936" s="132">
        <f>H937</f>
        <v>0</v>
      </c>
      <c r="K936" s="132">
        <f>K937</f>
        <v>0</v>
      </c>
      <c r="L936" s="604">
        <v>0</v>
      </c>
      <c r="M936" s="604">
        <v>0</v>
      </c>
    </row>
    <row r="937" spans="1:13" ht="15">
      <c r="A937" s="176" t="s">
        <v>1705</v>
      </c>
      <c r="B937" s="184" t="s">
        <v>781</v>
      </c>
      <c r="C937" s="124" t="s">
        <v>1624</v>
      </c>
      <c r="D937" s="124" t="s">
        <v>1627</v>
      </c>
      <c r="E937" s="124" t="s">
        <v>412</v>
      </c>
      <c r="F937" s="124" t="s">
        <v>1706</v>
      </c>
      <c r="G937" s="132">
        <f>G938</f>
        <v>0</v>
      </c>
      <c r="H937" s="132">
        <f>H938</f>
        <v>0</v>
      </c>
      <c r="K937" s="132">
        <f>K938</f>
        <v>0</v>
      </c>
      <c r="L937" s="604">
        <v>0</v>
      </c>
      <c r="M937" s="604">
        <v>0</v>
      </c>
    </row>
    <row r="938" spans="1:13" ht="24">
      <c r="A938" s="176" t="s">
        <v>977</v>
      </c>
      <c r="B938" s="184" t="s">
        <v>781</v>
      </c>
      <c r="C938" s="124" t="s">
        <v>1624</v>
      </c>
      <c r="D938" s="124" t="s">
        <v>1627</v>
      </c>
      <c r="E938" s="124" t="s">
        <v>412</v>
      </c>
      <c r="F938" s="124" t="s">
        <v>846</v>
      </c>
      <c r="G938" s="135">
        <f>3689-3689</f>
        <v>0</v>
      </c>
      <c r="H938" s="135">
        <f>3689-3689</f>
        <v>0</v>
      </c>
      <c r="K938" s="135">
        <f>3689-3689</f>
        <v>0</v>
      </c>
      <c r="L938" s="604">
        <v>0</v>
      </c>
      <c r="M938" s="604">
        <v>0</v>
      </c>
    </row>
    <row r="939" spans="1:13" ht="48">
      <c r="A939" s="134" t="s">
        <v>1401</v>
      </c>
      <c r="B939" s="184" t="s">
        <v>781</v>
      </c>
      <c r="C939" s="124" t="s">
        <v>1624</v>
      </c>
      <c r="D939" s="124" t="s">
        <v>1627</v>
      </c>
      <c r="E939" s="124" t="s">
        <v>1402</v>
      </c>
      <c r="F939" s="124"/>
      <c r="G939" s="132">
        <f>G940</f>
        <v>0</v>
      </c>
      <c r="H939" s="132">
        <f>H940</f>
        <v>10495.4</v>
      </c>
      <c r="K939" s="132">
        <f>K940</f>
        <v>10494.5</v>
      </c>
      <c r="L939" s="604">
        <v>0</v>
      </c>
      <c r="M939" s="605">
        <f t="shared" si="63"/>
        <v>99.99142481468071</v>
      </c>
    </row>
    <row r="940" spans="1:13" ht="15">
      <c r="A940" s="176" t="s">
        <v>1705</v>
      </c>
      <c r="B940" s="184" t="s">
        <v>781</v>
      </c>
      <c r="C940" s="124" t="s">
        <v>1624</v>
      </c>
      <c r="D940" s="124" t="s">
        <v>1627</v>
      </c>
      <c r="E940" s="124" t="s">
        <v>1402</v>
      </c>
      <c r="F940" s="124" t="s">
        <v>1706</v>
      </c>
      <c r="G940" s="132">
        <f>G941</f>
        <v>0</v>
      </c>
      <c r="H940" s="132">
        <f>H941</f>
        <v>10495.4</v>
      </c>
      <c r="K940" s="132">
        <f>K941</f>
        <v>10494.5</v>
      </c>
      <c r="L940" s="604">
        <v>0</v>
      </c>
      <c r="M940" s="605">
        <f t="shared" si="63"/>
        <v>99.99142481468071</v>
      </c>
    </row>
    <row r="941" spans="1:13" ht="24">
      <c r="A941" s="176" t="s">
        <v>977</v>
      </c>
      <c r="B941" s="184" t="s">
        <v>781</v>
      </c>
      <c r="C941" s="124" t="s">
        <v>1624</v>
      </c>
      <c r="D941" s="124" t="s">
        <v>1627</v>
      </c>
      <c r="E941" s="124" t="s">
        <v>1402</v>
      </c>
      <c r="F941" s="124" t="s">
        <v>846</v>
      </c>
      <c r="G941" s="135">
        <v>0</v>
      </c>
      <c r="H941" s="135">
        <f>10488.4+7</f>
        <v>10495.4</v>
      </c>
      <c r="K941" s="135">
        <f>10494.5</f>
        <v>10494.5</v>
      </c>
      <c r="L941" s="604">
        <v>0</v>
      </c>
      <c r="M941" s="605">
        <f t="shared" si="63"/>
        <v>99.99142481468071</v>
      </c>
    </row>
    <row r="942" spans="1:13" ht="36">
      <c r="A942" s="134" t="s">
        <v>27</v>
      </c>
      <c r="B942" s="184" t="s">
        <v>781</v>
      </c>
      <c r="C942" s="124" t="s">
        <v>1624</v>
      </c>
      <c r="D942" s="124" t="s">
        <v>1627</v>
      </c>
      <c r="E942" s="124" t="s">
        <v>1674</v>
      </c>
      <c r="F942" s="124"/>
      <c r="G942" s="132">
        <f>G943</f>
        <v>2760.7</v>
      </c>
      <c r="H942" s="132">
        <f>H943</f>
        <v>1844.1</v>
      </c>
      <c r="K942" s="132">
        <f>K943</f>
        <v>1844.1</v>
      </c>
      <c r="L942" s="604">
        <f t="shared" si="62"/>
        <v>66.79827579961604</v>
      </c>
      <c r="M942" s="605">
        <f t="shared" si="63"/>
        <v>100</v>
      </c>
    </row>
    <row r="943" spans="1:13" ht="15">
      <c r="A943" s="176" t="s">
        <v>1705</v>
      </c>
      <c r="B943" s="184" t="s">
        <v>781</v>
      </c>
      <c r="C943" s="124" t="s">
        <v>1624</v>
      </c>
      <c r="D943" s="124" t="s">
        <v>1627</v>
      </c>
      <c r="E943" s="124" t="s">
        <v>1674</v>
      </c>
      <c r="F943" s="124" t="s">
        <v>1706</v>
      </c>
      <c r="G943" s="132">
        <f>G944</f>
        <v>2760.7</v>
      </c>
      <c r="H943" s="132">
        <f>H944</f>
        <v>1844.1</v>
      </c>
      <c r="K943" s="132">
        <f>K944</f>
        <v>1844.1</v>
      </c>
      <c r="L943" s="604">
        <f t="shared" si="62"/>
        <v>66.79827579961604</v>
      </c>
      <c r="M943" s="605">
        <f t="shared" si="63"/>
        <v>100</v>
      </c>
    </row>
    <row r="944" spans="1:13" ht="24">
      <c r="A944" s="176" t="s">
        <v>977</v>
      </c>
      <c r="B944" s="184" t="s">
        <v>781</v>
      </c>
      <c r="C944" s="124" t="s">
        <v>1624</v>
      </c>
      <c r="D944" s="124" t="s">
        <v>1627</v>
      </c>
      <c r="E944" s="124" t="s">
        <v>1674</v>
      </c>
      <c r="F944" s="124" t="s">
        <v>846</v>
      </c>
      <c r="G944" s="135">
        <v>2760.7</v>
      </c>
      <c r="H944" s="135">
        <f>2760.7+1850.3-2766.9</f>
        <v>1844.1</v>
      </c>
      <c r="K944" s="135">
        <f>2760.7+1850.3-2766.9</f>
        <v>1844.1</v>
      </c>
      <c r="L944" s="604">
        <f t="shared" si="62"/>
        <v>66.79827579961604</v>
      </c>
      <c r="M944" s="605">
        <f t="shared" si="63"/>
        <v>100</v>
      </c>
    </row>
    <row r="945" spans="1:13" ht="24">
      <c r="A945" s="176" t="s">
        <v>1431</v>
      </c>
      <c r="B945" s="184" t="s">
        <v>781</v>
      </c>
      <c r="C945" s="124" t="s">
        <v>1624</v>
      </c>
      <c r="D945" s="124" t="s">
        <v>1627</v>
      </c>
      <c r="E945" s="124" t="s">
        <v>686</v>
      </c>
      <c r="F945" s="124"/>
      <c r="G945" s="132">
        <f>G946+G949</f>
        <v>158.1</v>
      </c>
      <c r="H945" s="132">
        <f>H946+H949</f>
        <v>15871</v>
      </c>
      <c r="K945" s="132">
        <f>K946+K949</f>
        <v>15863.900000000001</v>
      </c>
      <c r="L945" s="604">
        <f t="shared" si="62"/>
        <v>10034.092346616068</v>
      </c>
      <c r="M945" s="605">
        <f t="shared" si="63"/>
        <v>99.95526431856847</v>
      </c>
    </row>
    <row r="946" spans="1:13" ht="15">
      <c r="A946" s="176" t="s">
        <v>28</v>
      </c>
      <c r="B946" s="184" t="s">
        <v>781</v>
      </c>
      <c r="C946" s="124" t="s">
        <v>1624</v>
      </c>
      <c r="D946" s="124" t="s">
        <v>1627</v>
      </c>
      <c r="E946" s="124" t="s">
        <v>687</v>
      </c>
      <c r="F946" s="124"/>
      <c r="G946" s="132">
        <f>G947</f>
        <v>158.1</v>
      </c>
      <c r="H946" s="132">
        <f>H947</f>
        <v>165</v>
      </c>
      <c r="K946" s="132">
        <f>K947</f>
        <v>158.7</v>
      </c>
      <c r="L946" s="604">
        <f t="shared" si="62"/>
        <v>100.3795066413662</v>
      </c>
      <c r="M946" s="605">
        <f t="shared" si="63"/>
        <v>96.18181818181817</v>
      </c>
    </row>
    <row r="947" spans="1:13" ht="15">
      <c r="A947" s="176" t="s">
        <v>1705</v>
      </c>
      <c r="B947" s="184" t="s">
        <v>781</v>
      </c>
      <c r="C947" s="124" t="s">
        <v>1624</v>
      </c>
      <c r="D947" s="124" t="s">
        <v>1627</v>
      </c>
      <c r="E947" s="124" t="s">
        <v>687</v>
      </c>
      <c r="F947" s="124" t="s">
        <v>1706</v>
      </c>
      <c r="G947" s="132">
        <f>G948</f>
        <v>158.1</v>
      </c>
      <c r="H947" s="132">
        <f>H948</f>
        <v>165</v>
      </c>
      <c r="K947" s="132">
        <f>K948</f>
        <v>158.7</v>
      </c>
      <c r="L947" s="604">
        <f t="shared" si="62"/>
        <v>100.3795066413662</v>
      </c>
      <c r="M947" s="605">
        <f t="shared" si="63"/>
        <v>96.18181818181817</v>
      </c>
    </row>
    <row r="948" spans="1:13" ht="24">
      <c r="A948" s="176" t="s">
        <v>977</v>
      </c>
      <c r="B948" s="184" t="s">
        <v>781</v>
      </c>
      <c r="C948" s="124" t="s">
        <v>1624</v>
      </c>
      <c r="D948" s="124" t="s">
        <v>1627</v>
      </c>
      <c r="E948" s="124" t="s">
        <v>687</v>
      </c>
      <c r="F948" s="124" t="s">
        <v>846</v>
      </c>
      <c r="G948" s="135">
        <f>158.1</f>
        <v>158.1</v>
      </c>
      <c r="H948" s="135">
        <f>158.1+6.9</f>
        <v>165</v>
      </c>
      <c r="K948" s="135">
        <f>158.7</f>
        <v>158.7</v>
      </c>
      <c r="L948" s="604">
        <f t="shared" si="62"/>
        <v>100.3795066413662</v>
      </c>
      <c r="M948" s="605">
        <f t="shared" si="63"/>
        <v>96.18181818181817</v>
      </c>
    </row>
    <row r="949" spans="1:13" ht="15">
      <c r="A949" s="176" t="s">
        <v>28</v>
      </c>
      <c r="B949" s="184" t="s">
        <v>781</v>
      </c>
      <c r="C949" s="124" t="s">
        <v>1624</v>
      </c>
      <c r="D949" s="124" t="s">
        <v>1627</v>
      </c>
      <c r="E949" s="124" t="s">
        <v>57</v>
      </c>
      <c r="F949" s="124"/>
      <c r="G949" s="132">
        <f>G950</f>
        <v>0</v>
      </c>
      <c r="H949" s="132">
        <f>H950</f>
        <v>15706</v>
      </c>
      <c r="K949" s="132">
        <f>K950</f>
        <v>15705.2</v>
      </c>
      <c r="L949" s="604">
        <v>0</v>
      </c>
      <c r="M949" s="605">
        <f t="shared" si="63"/>
        <v>99.99490640519547</v>
      </c>
    </row>
    <row r="950" spans="1:13" ht="15">
      <c r="A950" s="176" t="s">
        <v>1705</v>
      </c>
      <c r="B950" s="184" t="s">
        <v>781</v>
      </c>
      <c r="C950" s="124" t="s">
        <v>1624</v>
      </c>
      <c r="D950" s="124" t="s">
        <v>1627</v>
      </c>
      <c r="E950" s="124" t="s">
        <v>57</v>
      </c>
      <c r="F950" s="124" t="s">
        <v>1706</v>
      </c>
      <c r="G950" s="132">
        <f>G951</f>
        <v>0</v>
      </c>
      <c r="H950" s="132">
        <f>H951</f>
        <v>15706</v>
      </c>
      <c r="K950" s="132">
        <f>K951</f>
        <v>15705.2</v>
      </c>
      <c r="L950" s="604">
        <v>0</v>
      </c>
      <c r="M950" s="605">
        <f t="shared" si="63"/>
        <v>99.99490640519547</v>
      </c>
    </row>
    <row r="951" spans="1:13" ht="24">
      <c r="A951" s="176" t="s">
        <v>977</v>
      </c>
      <c r="B951" s="184" t="s">
        <v>781</v>
      </c>
      <c r="C951" s="124" t="s">
        <v>1624</v>
      </c>
      <c r="D951" s="124" t="s">
        <v>1627</v>
      </c>
      <c r="E951" s="124" t="s">
        <v>57</v>
      </c>
      <c r="F951" s="124" t="s">
        <v>846</v>
      </c>
      <c r="G951" s="135">
        <v>0</v>
      </c>
      <c r="H951" s="135">
        <v>15706</v>
      </c>
      <c r="K951" s="135">
        <v>15705.2</v>
      </c>
      <c r="L951" s="604">
        <v>0</v>
      </c>
      <c r="M951" s="605">
        <f t="shared" si="63"/>
        <v>99.99490640519547</v>
      </c>
    </row>
    <row r="952" spans="1:13" ht="26.25" customHeight="1">
      <c r="A952" s="114" t="s">
        <v>1403</v>
      </c>
      <c r="B952" s="184" t="s">
        <v>781</v>
      </c>
      <c r="C952" s="124" t="s">
        <v>1624</v>
      </c>
      <c r="D952" s="124" t="s">
        <v>1627</v>
      </c>
      <c r="E952" s="124" t="s">
        <v>1404</v>
      </c>
      <c r="F952" s="124"/>
      <c r="G952" s="132">
        <f>G953</f>
        <v>0</v>
      </c>
      <c r="H952" s="132">
        <f>H953</f>
        <v>504.1</v>
      </c>
      <c r="K952" s="132">
        <f>K953</f>
        <v>0</v>
      </c>
      <c r="L952" s="604">
        <v>0</v>
      </c>
      <c r="M952" s="605">
        <f t="shared" si="63"/>
        <v>0</v>
      </c>
    </row>
    <row r="953" spans="1:13" ht="15">
      <c r="A953" s="176" t="s">
        <v>1705</v>
      </c>
      <c r="B953" s="184" t="s">
        <v>781</v>
      </c>
      <c r="C953" s="124" t="s">
        <v>1624</v>
      </c>
      <c r="D953" s="124" t="s">
        <v>1627</v>
      </c>
      <c r="E953" s="124" t="s">
        <v>1404</v>
      </c>
      <c r="F953" s="124" t="s">
        <v>1706</v>
      </c>
      <c r="G953" s="132">
        <f>G954</f>
        <v>0</v>
      </c>
      <c r="H953" s="132">
        <f>H954</f>
        <v>504.1</v>
      </c>
      <c r="K953" s="132">
        <f>K954</f>
        <v>0</v>
      </c>
      <c r="L953" s="604">
        <v>0</v>
      </c>
      <c r="M953" s="605">
        <f t="shared" si="63"/>
        <v>0</v>
      </c>
    </row>
    <row r="954" spans="1:13" ht="24">
      <c r="A954" s="176" t="s">
        <v>977</v>
      </c>
      <c r="B954" s="184" t="s">
        <v>781</v>
      </c>
      <c r="C954" s="124" t="s">
        <v>1624</v>
      </c>
      <c r="D954" s="124" t="s">
        <v>1627</v>
      </c>
      <c r="E954" s="124" t="s">
        <v>1404</v>
      </c>
      <c r="F954" s="124" t="s">
        <v>846</v>
      </c>
      <c r="G954" s="135">
        <v>0</v>
      </c>
      <c r="H954" s="135">
        <v>504.1</v>
      </c>
      <c r="K954" s="135">
        <v>0</v>
      </c>
      <c r="L954" s="604">
        <v>0</v>
      </c>
      <c r="M954" s="605">
        <f t="shared" si="63"/>
        <v>0</v>
      </c>
    </row>
    <row r="955" spans="1:13" ht="15">
      <c r="A955" s="133" t="s">
        <v>1453</v>
      </c>
      <c r="B955" s="184" t="s">
        <v>781</v>
      </c>
      <c r="C955" s="124" t="s">
        <v>1624</v>
      </c>
      <c r="D955" s="124" t="s">
        <v>1064</v>
      </c>
      <c r="E955" s="140"/>
      <c r="F955" s="124"/>
      <c r="G955" s="132">
        <f>G956</f>
        <v>81115</v>
      </c>
      <c r="H955" s="132">
        <f>H956</f>
        <v>73800</v>
      </c>
      <c r="K955" s="132">
        <f>K956</f>
        <v>73799.3</v>
      </c>
      <c r="L955" s="604">
        <f t="shared" si="62"/>
        <v>90.98107624976886</v>
      </c>
      <c r="M955" s="605">
        <f t="shared" si="63"/>
        <v>99.99905149051492</v>
      </c>
    </row>
    <row r="956" spans="1:13" ht="24">
      <c r="A956" s="141" t="s">
        <v>553</v>
      </c>
      <c r="B956" s="184" t="s">
        <v>781</v>
      </c>
      <c r="C956" s="124" t="s">
        <v>1624</v>
      </c>
      <c r="D956" s="124" t="s">
        <v>1064</v>
      </c>
      <c r="E956" s="191" t="s">
        <v>1035</v>
      </c>
      <c r="F956" s="124"/>
      <c r="G956" s="132">
        <f>G960+G957</f>
        <v>81115</v>
      </c>
      <c r="H956" s="132">
        <f>H960+H957</f>
        <v>73800</v>
      </c>
      <c r="K956" s="132">
        <f>K960+K957</f>
        <v>73799.3</v>
      </c>
      <c r="L956" s="604">
        <f t="shared" si="62"/>
        <v>90.98107624976886</v>
      </c>
      <c r="M956" s="605">
        <f t="shared" si="63"/>
        <v>99.99905149051492</v>
      </c>
    </row>
    <row r="957" spans="1:13" ht="48">
      <c r="A957" s="129" t="s">
        <v>881</v>
      </c>
      <c r="B957" s="184" t="s">
        <v>781</v>
      </c>
      <c r="C957" s="124" t="s">
        <v>1624</v>
      </c>
      <c r="D957" s="124" t="s">
        <v>1064</v>
      </c>
      <c r="E957" s="124" t="s">
        <v>882</v>
      </c>
      <c r="F957" s="124"/>
      <c r="G957" s="132">
        <f>G958</f>
        <v>0</v>
      </c>
      <c r="H957" s="132">
        <f>H958</f>
        <v>0</v>
      </c>
      <c r="K957" s="132">
        <f>K958</f>
        <v>0</v>
      </c>
      <c r="L957" s="604">
        <v>0</v>
      </c>
      <c r="M957" s="604">
        <v>0</v>
      </c>
    </row>
    <row r="958" spans="1:13" ht="15">
      <c r="A958" s="176" t="s">
        <v>1705</v>
      </c>
      <c r="B958" s="184" t="s">
        <v>781</v>
      </c>
      <c r="C958" s="124" t="s">
        <v>1624</v>
      </c>
      <c r="D958" s="124" t="s">
        <v>1064</v>
      </c>
      <c r="E958" s="124" t="s">
        <v>882</v>
      </c>
      <c r="F958" s="124" t="s">
        <v>1706</v>
      </c>
      <c r="G958" s="132">
        <f>G959</f>
        <v>0</v>
      </c>
      <c r="H958" s="132">
        <f>H959</f>
        <v>0</v>
      </c>
      <c r="K958" s="132">
        <f>K959</f>
        <v>0</v>
      </c>
      <c r="L958" s="604">
        <v>0</v>
      </c>
      <c r="M958" s="604">
        <v>0</v>
      </c>
    </row>
    <row r="959" spans="1:13" ht="24">
      <c r="A959" s="129" t="s">
        <v>977</v>
      </c>
      <c r="B959" s="184" t="s">
        <v>781</v>
      </c>
      <c r="C959" s="124" t="s">
        <v>1624</v>
      </c>
      <c r="D959" s="124" t="s">
        <v>1064</v>
      </c>
      <c r="E959" s="124" t="s">
        <v>882</v>
      </c>
      <c r="F959" s="124" t="s">
        <v>846</v>
      </c>
      <c r="G959" s="135">
        <f>2864-7-2857</f>
        <v>0</v>
      </c>
      <c r="H959" s="135">
        <f>2864-7-2857</f>
        <v>0</v>
      </c>
      <c r="K959" s="135">
        <f>2864-7-2857</f>
        <v>0</v>
      </c>
      <c r="L959" s="604">
        <v>0</v>
      </c>
      <c r="M959" s="604">
        <v>0</v>
      </c>
    </row>
    <row r="960" spans="1:13" ht="24">
      <c r="A960" s="161" t="s">
        <v>1286</v>
      </c>
      <c r="B960" s="184" t="s">
        <v>781</v>
      </c>
      <c r="C960" s="124" t="s">
        <v>1624</v>
      </c>
      <c r="D960" s="124" t="s">
        <v>1064</v>
      </c>
      <c r="E960" s="191" t="s">
        <v>1216</v>
      </c>
      <c r="F960" s="124"/>
      <c r="G960" s="132">
        <f aca="true" t="shared" si="65" ref="G960:H962">G961</f>
        <v>81115</v>
      </c>
      <c r="H960" s="132">
        <f t="shared" si="65"/>
        <v>73800</v>
      </c>
      <c r="K960" s="132">
        <f>K961</f>
        <v>73799.3</v>
      </c>
      <c r="L960" s="604">
        <f t="shared" si="62"/>
        <v>90.98107624976886</v>
      </c>
      <c r="M960" s="605">
        <f t="shared" si="63"/>
        <v>99.99905149051492</v>
      </c>
    </row>
    <row r="961" spans="1:13" ht="36">
      <c r="A961" s="129" t="s">
        <v>472</v>
      </c>
      <c r="B961" s="184" t="s">
        <v>781</v>
      </c>
      <c r="C961" s="124" t="s">
        <v>1624</v>
      </c>
      <c r="D961" s="124" t="s">
        <v>1064</v>
      </c>
      <c r="E961" s="124" t="s">
        <v>1482</v>
      </c>
      <c r="F961" s="124"/>
      <c r="G961" s="132">
        <f t="shared" si="65"/>
        <v>81115</v>
      </c>
      <c r="H961" s="132">
        <f t="shared" si="65"/>
        <v>73800</v>
      </c>
      <c r="K961" s="132">
        <f>K962</f>
        <v>73799.3</v>
      </c>
      <c r="L961" s="604">
        <f t="shared" si="62"/>
        <v>90.98107624976886</v>
      </c>
      <c r="M961" s="605">
        <f t="shared" si="63"/>
        <v>99.99905149051492</v>
      </c>
    </row>
    <row r="962" spans="1:13" ht="15">
      <c r="A962" s="176" t="s">
        <v>1705</v>
      </c>
      <c r="B962" s="184" t="s">
        <v>781</v>
      </c>
      <c r="C962" s="124" t="s">
        <v>1624</v>
      </c>
      <c r="D962" s="124" t="s">
        <v>1064</v>
      </c>
      <c r="E962" s="124" t="s">
        <v>1482</v>
      </c>
      <c r="F962" s="124" t="s">
        <v>1706</v>
      </c>
      <c r="G962" s="132">
        <f t="shared" si="65"/>
        <v>81115</v>
      </c>
      <c r="H962" s="132">
        <f t="shared" si="65"/>
        <v>73800</v>
      </c>
      <c r="K962" s="132">
        <f>K963</f>
        <v>73799.3</v>
      </c>
      <c r="L962" s="604">
        <f t="shared" si="62"/>
        <v>90.98107624976886</v>
      </c>
      <c r="M962" s="605">
        <f t="shared" si="63"/>
        <v>99.99905149051492</v>
      </c>
    </row>
    <row r="963" spans="1:13" ht="24">
      <c r="A963" s="176" t="s">
        <v>977</v>
      </c>
      <c r="B963" s="184" t="s">
        <v>781</v>
      </c>
      <c r="C963" s="124" t="s">
        <v>1624</v>
      </c>
      <c r="D963" s="124" t="s">
        <v>1064</v>
      </c>
      <c r="E963" s="124" t="s">
        <v>1482</v>
      </c>
      <c r="F963" s="124" t="s">
        <v>846</v>
      </c>
      <c r="G963" s="135">
        <f>81115</f>
        <v>81115</v>
      </c>
      <c r="H963" s="135">
        <f>81115-7315</f>
        <v>73800</v>
      </c>
      <c r="K963" s="135">
        <v>73799.3</v>
      </c>
      <c r="L963" s="604">
        <f t="shared" si="62"/>
        <v>90.98107624976886</v>
      </c>
      <c r="M963" s="605">
        <f t="shared" si="63"/>
        <v>99.99905149051492</v>
      </c>
    </row>
    <row r="964" spans="1:13" ht="15">
      <c r="A964" s="139" t="s">
        <v>158</v>
      </c>
      <c r="B964" s="184" t="s">
        <v>781</v>
      </c>
      <c r="C964" s="127" t="s">
        <v>1629</v>
      </c>
      <c r="D964" s="124"/>
      <c r="E964" s="124"/>
      <c r="F964" s="124"/>
      <c r="G964" s="145">
        <f>G965+G972</f>
        <v>19562</v>
      </c>
      <c r="H964" s="145">
        <f>H965+H972</f>
        <v>34632</v>
      </c>
      <c r="K964" s="145">
        <f>K965+K972</f>
        <v>33821.3</v>
      </c>
      <c r="L964" s="604">
        <f t="shared" si="62"/>
        <v>172.89285349146306</v>
      </c>
      <c r="M964" s="605">
        <f t="shared" si="63"/>
        <v>97.65910140910141</v>
      </c>
    </row>
    <row r="965" spans="1:13" ht="15">
      <c r="A965" s="179" t="s">
        <v>74</v>
      </c>
      <c r="B965" s="184" t="s">
        <v>781</v>
      </c>
      <c r="C965" s="124" t="s">
        <v>1629</v>
      </c>
      <c r="D965" s="124" t="s">
        <v>1594</v>
      </c>
      <c r="E965" s="123"/>
      <c r="F965" s="123"/>
      <c r="G965" s="132">
        <f aca="true" t="shared" si="66" ref="G965:H969">G966</f>
        <v>9350</v>
      </c>
      <c r="H965" s="132">
        <f t="shared" si="66"/>
        <v>9485</v>
      </c>
      <c r="K965" s="132">
        <f>K966</f>
        <v>9485</v>
      </c>
      <c r="L965" s="604">
        <f t="shared" si="62"/>
        <v>101.44385026737967</v>
      </c>
      <c r="M965" s="605">
        <f t="shared" si="63"/>
        <v>100</v>
      </c>
    </row>
    <row r="966" spans="1:13" ht="24">
      <c r="A966" s="137" t="s">
        <v>1458</v>
      </c>
      <c r="B966" s="184" t="s">
        <v>781</v>
      </c>
      <c r="C966" s="124" t="s">
        <v>1629</v>
      </c>
      <c r="D966" s="124" t="s">
        <v>1594</v>
      </c>
      <c r="E966" s="124" t="s">
        <v>1265</v>
      </c>
      <c r="F966" s="124"/>
      <c r="G966" s="132">
        <f t="shared" si="66"/>
        <v>9350</v>
      </c>
      <c r="H966" s="132">
        <f t="shared" si="66"/>
        <v>9485</v>
      </c>
      <c r="K966" s="132">
        <f>K967</f>
        <v>9485</v>
      </c>
      <c r="L966" s="604">
        <f t="shared" si="62"/>
        <v>101.44385026737967</v>
      </c>
      <c r="M966" s="605">
        <f t="shared" si="63"/>
        <v>100</v>
      </c>
    </row>
    <row r="967" spans="1:13" ht="36">
      <c r="A967" s="129" t="s">
        <v>1058</v>
      </c>
      <c r="B967" s="184" t="s">
        <v>781</v>
      </c>
      <c r="C967" s="124" t="s">
        <v>1629</v>
      </c>
      <c r="D967" s="124" t="s">
        <v>1594</v>
      </c>
      <c r="E967" s="124" t="s">
        <v>695</v>
      </c>
      <c r="F967" s="124"/>
      <c r="G967" s="132">
        <f t="shared" si="66"/>
        <v>9350</v>
      </c>
      <c r="H967" s="132">
        <f t="shared" si="66"/>
        <v>9485</v>
      </c>
      <c r="K967" s="132">
        <f>K968</f>
        <v>9485</v>
      </c>
      <c r="L967" s="604">
        <f t="shared" si="62"/>
        <v>101.44385026737967</v>
      </c>
      <c r="M967" s="605">
        <f t="shared" si="63"/>
        <v>100</v>
      </c>
    </row>
    <row r="968" spans="1:13" ht="15">
      <c r="A968" s="134" t="s">
        <v>1600</v>
      </c>
      <c r="B968" s="184" t="s">
        <v>781</v>
      </c>
      <c r="C968" s="124" t="s">
        <v>1629</v>
      </c>
      <c r="D968" s="124" t="s">
        <v>1594</v>
      </c>
      <c r="E968" s="124" t="s">
        <v>696</v>
      </c>
      <c r="F968" s="124"/>
      <c r="G968" s="132">
        <f t="shared" si="66"/>
        <v>9350</v>
      </c>
      <c r="H968" s="132">
        <f t="shared" si="66"/>
        <v>9485</v>
      </c>
      <c r="K968" s="132">
        <f>K969</f>
        <v>9485</v>
      </c>
      <c r="L968" s="604">
        <f t="shared" si="62"/>
        <v>101.44385026737967</v>
      </c>
      <c r="M968" s="605">
        <f t="shared" si="63"/>
        <v>100</v>
      </c>
    </row>
    <row r="969" spans="1:13" ht="24">
      <c r="A969" s="129" t="s">
        <v>752</v>
      </c>
      <c r="B969" s="184" t="s">
        <v>781</v>
      </c>
      <c r="C969" s="124" t="s">
        <v>1629</v>
      </c>
      <c r="D969" s="124" t="s">
        <v>1594</v>
      </c>
      <c r="E969" s="124" t="s">
        <v>696</v>
      </c>
      <c r="F969" s="124" t="s">
        <v>751</v>
      </c>
      <c r="G969" s="132">
        <f t="shared" si="66"/>
        <v>9350</v>
      </c>
      <c r="H969" s="132">
        <f t="shared" si="66"/>
        <v>9485</v>
      </c>
      <c r="K969" s="132">
        <f>K970</f>
        <v>9485</v>
      </c>
      <c r="L969" s="604">
        <f t="shared" si="62"/>
        <v>101.44385026737967</v>
      </c>
      <c r="M969" s="605">
        <f t="shared" si="63"/>
        <v>100</v>
      </c>
    </row>
    <row r="970" spans="1:13" ht="15">
      <c r="A970" s="134" t="s">
        <v>753</v>
      </c>
      <c r="B970" s="184" t="s">
        <v>781</v>
      </c>
      <c r="C970" s="124" t="s">
        <v>1629</v>
      </c>
      <c r="D970" s="124" t="s">
        <v>1594</v>
      </c>
      <c r="E970" s="124" t="s">
        <v>696</v>
      </c>
      <c r="F970" s="124" t="s">
        <v>1436</v>
      </c>
      <c r="G970" s="135">
        <f>9350</f>
        <v>9350</v>
      </c>
      <c r="H970" s="135">
        <f>9350+135</f>
        <v>9485</v>
      </c>
      <c r="K970" s="135">
        <f>9350+135</f>
        <v>9485</v>
      </c>
      <c r="L970" s="604">
        <f t="shared" si="62"/>
        <v>101.44385026737967</v>
      </c>
      <c r="M970" s="605">
        <f t="shared" si="63"/>
        <v>100</v>
      </c>
    </row>
    <row r="971" spans="1:13" ht="24">
      <c r="A971" s="134" t="s">
        <v>1483</v>
      </c>
      <c r="B971" s="184" t="s">
        <v>781</v>
      </c>
      <c r="C971" s="124" t="s">
        <v>1629</v>
      </c>
      <c r="D971" s="124" t="s">
        <v>1594</v>
      </c>
      <c r="E971" s="124" t="s">
        <v>696</v>
      </c>
      <c r="F971" s="124" t="s">
        <v>1436</v>
      </c>
      <c r="G971" s="135"/>
      <c r="H971" s="135">
        <v>135</v>
      </c>
      <c r="K971" s="135">
        <v>135</v>
      </c>
      <c r="L971" s="604">
        <v>0</v>
      </c>
      <c r="M971" s="605">
        <f t="shared" si="63"/>
        <v>100</v>
      </c>
    </row>
    <row r="972" spans="1:13" ht="15">
      <c r="A972" s="169" t="s">
        <v>75</v>
      </c>
      <c r="B972" s="184" t="s">
        <v>781</v>
      </c>
      <c r="C972" s="124" t="s">
        <v>1629</v>
      </c>
      <c r="D972" s="124" t="s">
        <v>852</v>
      </c>
      <c r="E972" s="124"/>
      <c r="F972" s="124"/>
      <c r="G972" s="132">
        <f aca="true" t="shared" si="67" ref="G972:H976">G973</f>
        <v>10212</v>
      </c>
      <c r="H972" s="132">
        <f t="shared" si="67"/>
        <v>25147</v>
      </c>
      <c r="K972" s="132">
        <f>K973</f>
        <v>24336.3</v>
      </c>
      <c r="L972" s="604">
        <f aca="true" t="shared" si="68" ref="L972:L1032">K972/G972*100</f>
        <v>238.31081081081084</v>
      </c>
      <c r="M972" s="605">
        <f t="shared" si="63"/>
        <v>96.77615620153497</v>
      </c>
    </row>
    <row r="973" spans="1:13" ht="24">
      <c r="A973" s="137" t="s">
        <v>1458</v>
      </c>
      <c r="B973" s="184" t="s">
        <v>781</v>
      </c>
      <c r="C973" s="124" t="s">
        <v>1629</v>
      </c>
      <c r="D973" s="124" t="s">
        <v>852</v>
      </c>
      <c r="E973" s="124" t="s">
        <v>1265</v>
      </c>
      <c r="F973" s="124"/>
      <c r="G973" s="132">
        <f t="shared" si="67"/>
        <v>10212</v>
      </c>
      <c r="H973" s="132">
        <f t="shared" si="67"/>
        <v>25147</v>
      </c>
      <c r="K973" s="132">
        <f>K974</f>
        <v>24336.3</v>
      </c>
      <c r="L973" s="604">
        <f t="shared" si="68"/>
        <v>238.31081081081084</v>
      </c>
      <c r="M973" s="605">
        <f aca="true" t="shared" si="69" ref="M973:M1032">K973/H973*100</f>
        <v>96.77615620153497</v>
      </c>
    </row>
    <row r="974" spans="1:13" ht="36">
      <c r="A974" s="129" t="s">
        <v>1058</v>
      </c>
      <c r="B974" s="184" t="s">
        <v>781</v>
      </c>
      <c r="C974" s="124" t="s">
        <v>1629</v>
      </c>
      <c r="D974" s="124" t="s">
        <v>852</v>
      </c>
      <c r="E974" s="124" t="s">
        <v>695</v>
      </c>
      <c r="F974" s="124"/>
      <c r="G974" s="132">
        <f t="shared" si="67"/>
        <v>10212</v>
      </c>
      <c r="H974" s="132">
        <f t="shared" si="67"/>
        <v>25147</v>
      </c>
      <c r="K974" s="132">
        <f>K975</f>
        <v>24336.3</v>
      </c>
      <c r="L974" s="604">
        <f t="shared" si="68"/>
        <v>238.31081081081084</v>
      </c>
      <c r="M974" s="605">
        <f t="shared" si="69"/>
        <v>96.77615620153497</v>
      </c>
    </row>
    <row r="975" spans="1:13" ht="24">
      <c r="A975" s="134" t="s">
        <v>1373</v>
      </c>
      <c r="B975" s="184" t="s">
        <v>781</v>
      </c>
      <c r="C975" s="124" t="s">
        <v>1629</v>
      </c>
      <c r="D975" s="124" t="s">
        <v>852</v>
      </c>
      <c r="E975" s="124" t="s">
        <v>458</v>
      </c>
      <c r="F975" s="124"/>
      <c r="G975" s="132">
        <f t="shared" si="67"/>
        <v>10212</v>
      </c>
      <c r="H975" s="132">
        <f t="shared" si="67"/>
        <v>25147</v>
      </c>
      <c r="K975" s="132">
        <f>K976</f>
        <v>24336.3</v>
      </c>
      <c r="L975" s="604">
        <f t="shared" si="68"/>
        <v>238.31081081081084</v>
      </c>
      <c r="M975" s="605">
        <f t="shared" si="69"/>
        <v>96.77615620153497</v>
      </c>
    </row>
    <row r="976" spans="1:13" ht="24">
      <c r="A976" s="129" t="s">
        <v>752</v>
      </c>
      <c r="B976" s="184" t="s">
        <v>781</v>
      </c>
      <c r="C976" s="124" t="s">
        <v>1629</v>
      </c>
      <c r="D976" s="124" t="s">
        <v>852</v>
      </c>
      <c r="E976" s="124" t="s">
        <v>458</v>
      </c>
      <c r="F976" s="124" t="s">
        <v>751</v>
      </c>
      <c r="G976" s="132">
        <f t="shared" si="67"/>
        <v>10212</v>
      </c>
      <c r="H976" s="132">
        <f t="shared" si="67"/>
        <v>25147</v>
      </c>
      <c r="K976" s="132">
        <f>K977</f>
        <v>24336.3</v>
      </c>
      <c r="L976" s="604">
        <f t="shared" si="68"/>
        <v>238.31081081081084</v>
      </c>
      <c r="M976" s="605">
        <f t="shared" si="69"/>
        <v>96.77615620153497</v>
      </c>
    </row>
    <row r="977" spans="1:13" ht="15">
      <c r="A977" s="134" t="s">
        <v>18</v>
      </c>
      <c r="B977" s="184" t="s">
        <v>781</v>
      </c>
      <c r="C977" s="124" t="s">
        <v>1629</v>
      </c>
      <c r="D977" s="124" t="s">
        <v>852</v>
      </c>
      <c r="E977" s="124" t="s">
        <v>458</v>
      </c>
      <c r="F977" s="124" t="s">
        <v>1436</v>
      </c>
      <c r="G977" s="135">
        <v>10212</v>
      </c>
      <c r="H977" s="135">
        <f>H978+2590+3360+H979+H980+617+3500</f>
        <v>25147</v>
      </c>
      <c r="K977" s="135">
        <v>24336.3</v>
      </c>
      <c r="L977" s="604">
        <f t="shared" si="68"/>
        <v>238.31081081081084</v>
      </c>
      <c r="M977" s="605">
        <f t="shared" si="69"/>
        <v>96.77615620153497</v>
      </c>
    </row>
    <row r="978" spans="1:13" ht="24">
      <c r="A978" s="134" t="s">
        <v>21</v>
      </c>
      <c r="B978" s="184" t="s">
        <v>781</v>
      </c>
      <c r="C978" s="124" t="s">
        <v>1629</v>
      </c>
      <c r="D978" s="124" t="s">
        <v>852</v>
      </c>
      <c r="E978" s="124" t="s">
        <v>458</v>
      </c>
      <c r="F978" s="124" t="s">
        <v>1436</v>
      </c>
      <c r="G978" s="135">
        <f>7622</f>
        <v>7622</v>
      </c>
      <c r="H978" s="135">
        <f>7622+4890</f>
        <v>12512</v>
      </c>
      <c r="K978" s="135">
        <v>11711.4</v>
      </c>
      <c r="L978" s="604">
        <f t="shared" si="68"/>
        <v>153.6525846234584</v>
      </c>
      <c r="M978" s="605">
        <f t="shared" si="69"/>
        <v>93.60134271099744</v>
      </c>
    </row>
    <row r="979" spans="1:13" ht="24">
      <c r="A979" s="134" t="s">
        <v>1547</v>
      </c>
      <c r="B979" s="184" t="s">
        <v>781</v>
      </c>
      <c r="C979" s="124" t="s">
        <v>1629</v>
      </c>
      <c r="D979" s="124" t="s">
        <v>852</v>
      </c>
      <c r="E979" s="124" t="s">
        <v>458</v>
      </c>
      <c r="F979" s="124" t="s">
        <v>1436</v>
      </c>
      <c r="G979" s="135">
        <v>0</v>
      </c>
      <c r="H979" s="135">
        <v>2143</v>
      </c>
      <c r="K979" s="135">
        <v>2143</v>
      </c>
      <c r="L979" s="604">
        <v>0</v>
      </c>
      <c r="M979" s="605">
        <f t="shared" si="69"/>
        <v>100</v>
      </c>
    </row>
    <row r="980" spans="1:13" ht="24">
      <c r="A980" s="134" t="s">
        <v>1548</v>
      </c>
      <c r="B980" s="184" t="s">
        <v>781</v>
      </c>
      <c r="C980" s="124" t="s">
        <v>1629</v>
      </c>
      <c r="D980" s="124" t="s">
        <v>852</v>
      </c>
      <c r="E980" s="124" t="s">
        <v>458</v>
      </c>
      <c r="F980" s="124" t="s">
        <v>1436</v>
      </c>
      <c r="G980" s="135">
        <v>0</v>
      </c>
      <c r="H980" s="135">
        <v>425</v>
      </c>
      <c r="K980" s="135">
        <v>424.9</v>
      </c>
      <c r="L980" s="604">
        <v>0</v>
      </c>
      <c r="M980" s="605">
        <f t="shared" si="69"/>
        <v>99.97647058823529</v>
      </c>
    </row>
    <row r="981" spans="1:13" ht="15">
      <c r="A981" s="133" t="s">
        <v>840</v>
      </c>
      <c r="B981" s="184" t="s">
        <v>781</v>
      </c>
      <c r="C981" s="124" t="s">
        <v>1296</v>
      </c>
      <c r="D981" s="124" t="s">
        <v>1621</v>
      </c>
      <c r="E981" s="124"/>
      <c r="F981" s="124"/>
      <c r="G981" s="145">
        <f>G982</f>
        <v>130000</v>
      </c>
      <c r="H981" s="145">
        <f>H982</f>
        <v>0</v>
      </c>
      <c r="K981" s="145">
        <f>K982</f>
        <v>0</v>
      </c>
      <c r="L981" s="604">
        <f t="shared" si="68"/>
        <v>0</v>
      </c>
      <c r="M981" s="604">
        <v>0</v>
      </c>
    </row>
    <row r="982" spans="1:13" ht="24">
      <c r="A982" s="137" t="s">
        <v>157</v>
      </c>
      <c r="B982" s="184" t="s">
        <v>781</v>
      </c>
      <c r="C982" s="124" t="s">
        <v>1296</v>
      </c>
      <c r="D982" s="124" t="s">
        <v>1594</v>
      </c>
      <c r="E982" s="124" t="s">
        <v>1340</v>
      </c>
      <c r="F982" s="124"/>
      <c r="G982" s="132">
        <f>G983+G985</f>
        <v>130000</v>
      </c>
      <c r="H982" s="132">
        <f>H983+H985</f>
        <v>0</v>
      </c>
      <c r="K982" s="132">
        <f>K983+K985</f>
        <v>0</v>
      </c>
      <c r="L982" s="604">
        <f t="shared" si="68"/>
        <v>0</v>
      </c>
      <c r="M982" s="604">
        <v>0</v>
      </c>
    </row>
    <row r="983" spans="1:13" ht="15">
      <c r="A983" s="129" t="s">
        <v>746</v>
      </c>
      <c r="B983" s="184" t="s">
        <v>781</v>
      </c>
      <c r="C983" s="124" t="s">
        <v>1296</v>
      </c>
      <c r="D983" s="124" t="s">
        <v>1594</v>
      </c>
      <c r="E983" s="124" t="s">
        <v>1340</v>
      </c>
      <c r="F983" s="124" t="s">
        <v>108</v>
      </c>
      <c r="G983" s="132">
        <f>G984</f>
        <v>30000</v>
      </c>
      <c r="H983" s="132">
        <f>H984</f>
        <v>0</v>
      </c>
      <c r="K983" s="132">
        <f>K984</f>
        <v>0</v>
      </c>
      <c r="L983" s="604">
        <f t="shared" si="68"/>
        <v>0</v>
      </c>
      <c r="M983" s="604">
        <v>0</v>
      </c>
    </row>
    <row r="984" spans="1:13" ht="15">
      <c r="A984" s="134" t="s">
        <v>1234</v>
      </c>
      <c r="B984" s="184" t="s">
        <v>781</v>
      </c>
      <c r="C984" s="124" t="s">
        <v>1296</v>
      </c>
      <c r="D984" s="124" t="s">
        <v>1594</v>
      </c>
      <c r="E984" s="124" t="s">
        <v>1340</v>
      </c>
      <c r="F984" s="124" t="s">
        <v>1520</v>
      </c>
      <c r="G984" s="135">
        <f>30000</f>
        <v>30000</v>
      </c>
      <c r="H984" s="135">
        <f>30000-15000-15000</f>
        <v>0</v>
      </c>
      <c r="K984" s="135">
        <f>30000-15000-15000</f>
        <v>0</v>
      </c>
      <c r="L984" s="604">
        <f t="shared" si="68"/>
        <v>0</v>
      </c>
      <c r="M984" s="604">
        <v>0</v>
      </c>
    </row>
    <row r="985" spans="1:13" ht="15">
      <c r="A985" s="130" t="s">
        <v>910</v>
      </c>
      <c r="B985" s="184" t="s">
        <v>781</v>
      </c>
      <c r="C985" s="124" t="s">
        <v>1296</v>
      </c>
      <c r="D985" s="124" t="s">
        <v>1594</v>
      </c>
      <c r="E985" s="124" t="s">
        <v>1340</v>
      </c>
      <c r="F985" s="124" t="s">
        <v>911</v>
      </c>
      <c r="G985" s="132">
        <f>G986</f>
        <v>100000</v>
      </c>
      <c r="H985" s="132">
        <f>H986</f>
        <v>0</v>
      </c>
      <c r="K985" s="132">
        <f>K986</f>
        <v>0</v>
      </c>
      <c r="L985" s="604">
        <f t="shared" si="68"/>
        <v>0</v>
      </c>
      <c r="M985" s="604">
        <v>0</v>
      </c>
    </row>
    <row r="986" spans="1:13" ht="36">
      <c r="A986" s="134" t="s">
        <v>1690</v>
      </c>
      <c r="B986" s="184" t="s">
        <v>781</v>
      </c>
      <c r="C986" s="124" t="s">
        <v>1296</v>
      </c>
      <c r="D986" s="124" t="s">
        <v>1594</v>
      </c>
      <c r="E986" s="124" t="s">
        <v>1340</v>
      </c>
      <c r="F986" s="124" t="s">
        <v>1632</v>
      </c>
      <c r="G986" s="135">
        <f>100000</f>
        <v>100000</v>
      </c>
      <c r="H986" s="135">
        <f>100000-16000-14000-70000</f>
        <v>0</v>
      </c>
      <c r="K986" s="135">
        <f>100000-16000-14000-70000</f>
        <v>0</v>
      </c>
      <c r="L986" s="604">
        <f t="shared" si="68"/>
        <v>0</v>
      </c>
      <c r="M986" s="604">
        <v>0</v>
      </c>
    </row>
    <row r="987" spans="1:13" ht="39">
      <c r="A987" s="144" t="s">
        <v>1510</v>
      </c>
      <c r="B987" s="184" t="s">
        <v>781</v>
      </c>
      <c r="C987" s="123" t="s">
        <v>1422</v>
      </c>
      <c r="D987" s="146"/>
      <c r="E987" s="146"/>
      <c r="F987" s="146"/>
      <c r="G987" s="145">
        <f aca="true" t="shared" si="70" ref="G987:H990">G988</f>
        <v>330108</v>
      </c>
      <c r="H987" s="145">
        <f t="shared" si="70"/>
        <v>313214</v>
      </c>
      <c r="K987" s="145">
        <f>K988</f>
        <v>313214</v>
      </c>
      <c r="L987" s="604">
        <f t="shared" si="68"/>
        <v>94.88228095047681</v>
      </c>
      <c r="M987" s="605">
        <f t="shared" si="69"/>
        <v>100</v>
      </c>
    </row>
    <row r="988" spans="1:13" ht="15">
      <c r="A988" s="133" t="s">
        <v>35</v>
      </c>
      <c r="B988" s="184" t="s">
        <v>781</v>
      </c>
      <c r="C988" s="147" t="s">
        <v>1422</v>
      </c>
      <c r="D988" s="147" t="s">
        <v>1627</v>
      </c>
      <c r="E988" s="147"/>
      <c r="F988" s="147"/>
      <c r="G988" s="132">
        <f t="shared" si="70"/>
        <v>330108</v>
      </c>
      <c r="H988" s="132">
        <f t="shared" si="70"/>
        <v>313214</v>
      </c>
      <c r="K988" s="132">
        <f>K989</f>
        <v>313214</v>
      </c>
      <c r="L988" s="604">
        <f t="shared" si="68"/>
        <v>94.88228095047681</v>
      </c>
      <c r="M988" s="605">
        <f t="shared" si="69"/>
        <v>100</v>
      </c>
    </row>
    <row r="989" spans="1:13" ht="36">
      <c r="A989" s="129" t="s">
        <v>630</v>
      </c>
      <c r="B989" s="184" t="s">
        <v>781</v>
      </c>
      <c r="C989" s="124" t="s">
        <v>1422</v>
      </c>
      <c r="D989" s="124" t="s">
        <v>1627</v>
      </c>
      <c r="E989" s="124" t="s">
        <v>1339</v>
      </c>
      <c r="F989" s="124"/>
      <c r="G989" s="132">
        <f t="shared" si="70"/>
        <v>330108</v>
      </c>
      <c r="H989" s="132">
        <f t="shared" si="70"/>
        <v>313214</v>
      </c>
      <c r="K989" s="132">
        <f>K990</f>
        <v>313214</v>
      </c>
      <c r="L989" s="604">
        <f t="shared" si="68"/>
        <v>94.88228095047681</v>
      </c>
      <c r="M989" s="605">
        <f t="shared" si="69"/>
        <v>100</v>
      </c>
    </row>
    <row r="990" spans="1:13" ht="15">
      <c r="A990" s="129" t="s">
        <v>749</v>
      </c>
      <c r="B990" s="184" t="s">
        <v>781</v>
      </c>
      <c r="C990" s="124" t="s">
        <v>1422</v>
      </c>
      <c r="D990" s="124" t="s">
        <v>1627</v>
      </c>
      <c r="E990" s="124" t="s">
        <v>1339</v>
      </c>
      <c r="F990" s="124" t="s">
        <v>747</v>
      </c>
      <c r="G990" s="132">
        <f t="shared" si="70"/>
        <v>330108</v>
      </c>
      <c r="H990" s="132">
        <f t="shared" si="70"/>
        <v>313214</v>
      </c>
      <c r="K990" s="132">
        <f>K991</f>
        <v>313214</v>
      </c>
      <c r="L990" s="604">
        <f t="shared" si="68"/>
        <v>94.88228095047681</v>
      </c>
      <c r="M990" s="605">
        <f t="shared" si="69"/>
        <v>100</v>
      </c>
    </row>
    <row r="991" spans="1:13" ht="18" customHeight="1">
      <c r="A991" s="129" t="s">
        <v>750</v>
      </c>
      <c r="B991" s="184" t="s">
        <v>781</v>
      </c>
      <c r="C991" s="124" t="s">
        <v>1422</v>
      </c>
      <c r="D991" s="124" t="s">
        <v>1627</v>
      </c>
      <c r="E991" s="124" t="s">
        <v>1339</v>
      </c>
      <c r="F991" s="124" t="s">
        <v>748</v>
      </c>
      <c r="G991" s="135">
        <f>252132+77976</f>
        <v>330108</v>
      </c>
      <c r="H991" s="135">
        <f>252132+77976-16894</f>
        <v>313214</v>
      </c>
      <c r="K991" s="135">
        <f>252132+77976-16894</f>
        <v>313214</v>
      </c>
      <c r="L991" s="604">
        <f t="shared" si="68"/>
        <v>94.88228095047681</v>
      </c>
      <c r="M991" s="605">
        <f t="shared" si="69"/>
        <v>100</v>
      </c>
    </row>
    <row r="992" spans="1:13" ht="15">
      <c r="A992" s="181" t="s">
        <v>593</v>
      </c>
      <c r="B992" s="182" t="s">
        <v>1333</v>
      </c>
      <c r="C992" s="182"/>
      <c r="D992" s="182"/>
      <c r="E992" s="182"/>
      <c r="F992" s="182"/>
      <c r="G992" s="183">
        <f>G993</f>
        <v>22380.5</v>
      </c>
      <c r="H992" s="183">
        <f>H993</f>
        <v>22380.5</v>
      </c>
      <c r="K992" s="183">
        <f>K993</f>
        <v>18958.5</v>
      </c>
      <c r="L992" s="606">
        <f t="shared" si="68"/>
        <v>84.70990371081969</v>
      </c>
      <c r="M992" s="607">
        <f t="shared" si="69"/>
        <v>84.70990371081969</v>
      </c>
    </row>
    <row r="993" spans="1:13" ht="15">
      <c r="A993" s="186" t="s">
        <v>481</v>
      </c>
      <c r="B993" s="184" t="s">
        <v>1333</v>
      </c>
      <c r="C993" s="124" t="s">
        <v>1594</v>
      </c>
      <c r="D993" s="124"/>
      <c r="E993" s="124"/>
      <c r="F993" s="124"/>
      <c r="G993" s="132">
        <f>G994+G999</f>
        <v>22380.5</v>
      </c>
      <c r="H993" s="132">
        <f>H994+H999</f>
        <v>22380.5</v>
      </c>
      <c r="K993" s="132">
        <f>K994+K999</f>
        <v>18958.5</v>
      </c>
      <c r="L993" s="604">
        <f t="shared" si="68"/>
        <v>84.70990371081969</v>
      </c>
      <c r="M993" s="605">
        <f t="shared" si="69"/>
        <v>84.70990371081969</v>
      </c>
    </row>
    <row r="994" spans="1:13" ht="24">
      <c r="A994" s="126" t="s">
        <v>1603</v>
      </c>
      <c r="B994" s="184" t="s">
        <v>1333</v>
      </c>
      <c r="C994" s="124" t="s">
        <v>1594</v>
      </c>
      <c r="D994" s="127" t="s">
        <v>852</v>
      </c>
      <c r="E994" s="124"/>
      <c r="F994" s="124"/>
      <c r="G994" s="132">
        <f>G996</f>
        <v>3015.5</v>
      </c>
      <c r="H994" s="132">
        <f>H996</f>
        <v>3015.5</v>
      </c>
      <c r="K994" s="132">
        <f>K996</f>
        <v>2708.7</v>
      </c>
      <c r="L994" s="604">
        <f t="shared" si="68"/>
        <v>89.82589951915104</v>
      </c>
      <c r="M994" s="605">
        <f t="shared" si="69"/>
        <v>89.82589951915104</v>
      </c>
    </row>
    <row r="995" spans="1:13" ht="36">
      <c r="A995" s="129" t="s">
        <v>1616</v>
      </c>
      <c r="B995" s="184" t="s">
        <v>1333</v>
      </c>
      <c r="C995" s="127" t="s">
        <v>1594</v>
      </c>
      <c r="D995" s="127" t="s">
        <v>852</v>
      </c>
      <c r="E995" s="124" t="s">
        <v>1244</v>
      </c>
      <c r="F995" s="127"/>
      <c r="G995" s="128">
        <f aca="true" t="shared" si="71" ref="G995:H997">G996</f>
        <v>3015.5</v>
      </c>
      <c r="H995" s="128">
        <f t="shared" si="71"/>
        <v>3015.5</v>
      </c>
      <c r="K995" s="128">
        <f>K996</f>
        <v>2708.7</v>
      </c>
      <c r="L995" s="604">
        <f t="shared" si="68"/>
        <v>89.82589951915104</v>
      </c>
      <c r="M995" s="605">
        <f t="shared" si="69"/>
        <v>89.82589951915104</v>
      </c>
    </row>
    <row r="996" spans="1:13" ht="15">
      <c r="A996" s="130" t="s">
        <v>770</v>
      </c>
      <c r="B996" s="184" t="s">
        <v>1333</v>
      </c>
      <c r="C996" s="127" t="s">
        <v>1594</v>
      </c>
      <c r="D996" s="127" t="s">
        <v>852</v>
      </c>
      <c r="E996" s="124" t="s">
        <v>465</v>
      </c>
      <c r="F996" s="127"/>
      <c r="G996" s="128">
        <f t="shared" si="71"/>
        <v>3015.5</v>
      </c>
      <c r="H996" s="128">
        <f t="shared" si="71"/>
        <v>3015.5</v>
      </c>
      <c r="K996" s="128">
        <f>K997</f>
        <v>2708.7</v>
      </c>
      <c r="L996" s="604">
        <f t="shared" si="68"/>
        <v>89.82589951915104</v>
      </c>
      <c r="M996" s="605">
        <f t="shared" si="69"/>
        <v>89.82589951915104</v>
      </c>
    </row>
    <row r="997" spans="1:13" ht="48">
      <c r="A997" s="130" t="s">
        <v>1311</v>
      </c>
      <c r="B997" s="184" t="s">
        <v>1333</v>
      </c>
      <c r="C997" s="127" t="s">
        <v>1594</v>
      </c>
      <c r="D997" s="127" t="s">
        <v>852</v>
      </c>
      <c r="E997" s="124" t="s">
        <v>465</v>
      </c>
      <c r="F997" s="127" t="s">
        <v>1462</v>
      </c>
      <c r="G997" s="128">
        <f t="shared" si="71"/>
        <v>3015.5</v>
      </c>
      <c r="H997" s="128">
        <f t="shared" si="71"/>
        <v>3015.5</v>
      </c>
      <c r="K997" s="128">
        <f>K998</f>
        <v>2708.7</v>
      </c>
      <c r="L997" s="604">
        <f t="shared" si="68"/>
        <v>89.82589951915104</v>
      </c>
      <c r="M997" s="605">
        <f t="shared" si="69"/>
        <v>89.82589951915104</v>
      </c>
    </row>
    <row r="998" spans="1:13" ht="30" customHeight="1">
      <c r="A998" s="130" t="s">
        <v>1039</v>
      </c>
      <c r="B998" s="184" t="s">
        <v>1333</v>
      </c>
      <c r="C998" s="127" t="s">
        <v>1594</v>
      </c>
      <c r="D998" s="127" t="s">
        <v>852</v>
      </c>
      <c r="E998" s="124" t="s">
        <v>465</v>
      </c>
      <c r="F998" s="127" t="s">
        <v>1432</v>
      </c>
      <c r="G998" s="131">
        <v>3015.5</v>
      </c>
      <c r="H998" s="131">
        <v>3015.5</v>
      </c>
      <c r="K998" s="131">
        <v>2708.7</v>
      </c>
      <c r="L998" s="604">
        <f t="shared" si="68"/>
        <v>89.82589951915104</v>
      </c>
      <c r="M998" s="605">
        <f t="shared" si="69"/>
        <v>89.82589951915104</v>
      </c>
    </row>
    <row r="999" spans="1:13" ht="33.75">
      <c r="A999" s="133" t="s">
        <v>1633</v>
      </c>
      <c r="B999" s="184" t="s">
        <v>1333</v>
      </c>
      <c r="C999" s="124" t="s">
        <v>1594</v>
      </c>
      <c r="D999" s="124" t="s">
        <v>1627</v>
      </c>
      <c r="E999" s="124"/>
      <c r="F999" s="124"/>
      <c r="G999" s="132">
        <f>G1000</f>
        <v>19365</v>
      </c>
      <c r="H999" s="132">
        <f>H1000</f>
        <v>19365</v>
      </c>
      <c r="K999" s="132">
        <f>K1000</f>
        <v>16249.8</v>
      </c>
      <c r="L999" s="604">
        <f t="shared" si="68"/>
        <v>83.9132455460883</v>
      </c>
      <c r="M999" s="605">
        <f t="shared" si="69"/>
        <v>83.9132455460883</v>
      </c>
    </row>
    <row r="1000" spans="1:13" ht="36">
      <c r="A1000" s="129" t="s">
        <v>1616</v>
      </c>
      <c r="B1000" s="184" t="s">
        <v>1333</v>
      </c>
      <c r="C1000" s="124" t="s">
        <v>1594</v>
      </c>
      <c r="D1000" s="124" t="s">
        <v>1627</v>
      </c>
      <c r="E1000" s="124" t="s">
        <v>1244</v>
      </c>
      <c r="F1000" s="124"/>
      <c r="G1000" s="132">
        <f>G1001+G1008</f>
        <v>19365</v>
      </c>
      <c r="H1000" s="132">
        <f>H1001+H1008</f>
        <v>19365</v>
      </c>
      <c r="K1000" s="132">
        <f>K1001+K1008</f>
        <v>16249.8</v>
      </c>
      <c r="L1000" s="604">
        <f t="shared" si="68"/>
        <v>83.9132455460883</v>
      </c>
      <c r="M1000" s="605">
        <f t="shared" si="69"/>
        <v>83.9132455460883</v>
      </c>
    </row>
    <row r="1001" spans="1:13" ht="15">
      <c r="A1001" s="134" t="s">
        <v>113</v>
      </c>
      <c r="B1001" s="184" t="s">
        <v>1333</v>
      </c>
      <c r="C1001" s="124" t="s">
        <v>1634</v>
      </c>
      <c r="D1001" s="124" t="s">
        <v>1627</v>
      </c>
      <c r="E1001" s="124" t="s">
        <v>466</v>
      </c>
      <c r="F1001" s="124"/>
      <c r="G1001" s="128">
        <f>G1002+G1004+G1006</f>
        <v>19360.3</v>
      </c>
      <c r="H1001" s="128">
        <f>H1002+H1004+H1006</f>
        <v>19360.3</v>
      </c>
      <c r="K1001" s="128">
        <f>K1002+K1004+K1006</f>
        <v>16248.3</v>
      </c>
      <c r="L1001" s="604">
        <f t="shared" si="68"/>
        <v>83.9258689173205</v>
      </c>
      <c r="M1001" s="605">
        <f t="shared" si="69"/>
        <v>83.9258689173205</v>
      </c>
    </row>
    <row r="1002" spans="1:13" ht="48">
      <c r="A1002" s="130" t="s">
        <v>1311</v>
      </c>
      <c r="B1002" s="184" t="s">
        <v>1333</v>
      </c>
      <c r="C1002" s="124" t="s">
        <v>1594</v>
      </c>
      <c r="D1002" s="124" t="s">
        <v>1627</v>
      </c>
      <c r="E1002" s="124" t="s">
        <v>466</v>
      </c>
      <c r="F1002" s="124" t="s">
        <v>1462</v>
      </c>
      <c r="G1002" s="128">
        <f>G1003</f>
        <v>18910.3</v>
      </c>
      <c r="H1002" s="128">
        <f>H1003</f>
        <v>18910.3</v>
      </c>
      <c r="K1002" s="128">
        <f>K1003</f>
        <v>15944</v>
      </c>
      <c r="L1002" s="604">
        <f t="shared" si="68"/>
        <v>84.3138395477597</v>
      </c>
      <c r="M1002" s="605">
        <f t="shared" si="69"/>
        <v>84.3138395477597</v>
      </c>
    </row>
    <row r="1003" spans="1:13" ht="24">
      <c r="A1003" s="130" t="s">
        <v>1039</v>
      </c>
      <c r="B1003" s="184" t="s">
        <v>1333</v>
      </c>
      <c r="C1003" s="124" t="s">
        <v>1594</v>
      </c>
      <c r="D1003" s="124" t="s">
        <v>1627</v>
      </c>
      <c r="E1003" s="124" t="s">
        <v>466</v>
      </c>
      <c r="F1003" s="124" t="s">
        <v>1432</v>
      </c>
      <c r="G1003" s="131">
        <v>18910.3</v>
      </c>
      <c r="H1003" s="131">
        <v>18910.3</v>
      </c>
      <c r="K1003" s="131">
        <v>15944</v>
      </c>
      <c r="L1003" s="604">
        <f t="shared" si="68"/>
        <v>84.3138395477597</v>
      </c>
      <c r="M1003" s="605">
        <f t="shared" si="69"/>
        <v>84.3138395477597</v>
      </c>
    </row>
    <row r="1004" spans="1:13" ht="24">
      <c r="A1004" s="130" t="s">
        <v>1312</v>
      </c>
      <c r="B1004" s="184" t="s">
        <v>1333</v>
      </c>
      <c r="C1004" s="124" t="s">
        <v>1594</v>
      </c>
      <c r="D1004" s="124" t="s">
        <v>1627</v>
      </c>
      <c r="E1004" s="124" t="s">
        <v>466</v>
      </c>
      <c r="F1004" s="124" t="s">
        <v>1704</v>
      </c>
      <c r="G1004" s="132">
        <f>G1005</f>
        <v>350</v>
      </c>
      <c r="H1004" s="132">
        <f>H1005</f>
        <v>350</v>
      </c>
      <c r="K1004" s="132">
        <f>K1005</f>
        <v>222.8</v>
      </c>
      <c r="L1004" s="604">
        <f t="shared" si="68"/>
        <v>63.65714285714286</v>
      </c>
      <c r="M1004" s="605">
        <f t="shared" si="69"/>
        <v>63.65714285714286</v>
      </c>
    </row>
    <row r="1005" spans="1:13" ht="15">
      <c r="A1005" s="130" t="s">
        <v>621</v>
      </c>
      <c r="B1005" s="184" t="s">
        <v>1333</v>
      </c>
      <c r="C1005" s="124" t="s">
        <v>1594</v>
      </c>
      <c r="D1005" s="124" t="s">
        <v>1627</v>
      </c>
      <c r="E1005" s="124" t="s">
        <v>466</v>
      </c>
      <c r="F1005" s="124" t="s">
        <v>1619</v>
      </c>
      <c r="G1005" s="135">
        <v>350</v>
      </c>
      <c r="H1005" s="135">
        <v>350</v>
      </c>
      <c r="K1005" s="135">
        <v>222.8</v>
      </c>
      <c r="L1005" s="604">
        <f t="shared" si="68"/>
        <v>63.65714285714286</v>
      </c>
      <c r="M1005" s="605">
        <f t="shared" si="69"/>
        <v>63.65714285714286</v>
      </c>
    </row>
    <row r="1006" spans="1:13" ht="15">
      <c r="A1006" s="130" t="s">
        <v>910</v>
      </c>
      <c r="B1006" s="184" t="s">
        <v>1333</v>
      </c>
      <c r="C1006" s="124" t="s">
        <v>1594</v>
      </c>
      <c r="D1006" s="124" t="s">
        <v>1627</v>
      </c>
      <c r="E1006" s="124" t="s">
        <v>466</v>
      </c>
      <c r="F1006" s="124" t="s">
        <v>911</v>
      </c>
      <c r="G1006" s="132">
        <f>G1007</f>
        <v>100</v>
      </c>
      <c r="H1006" s="132">
        <f>H1007</f>
        <v>100</v>
      </c>
      <c r="K1006" s="132">
        <f>K1007</f>
        <v>81.5</v>
      </c>
      <c r="L1006" s="604">
        <f t="shared" si="68"/>
        <v>81.5</v>
      </c>
      <c r="M1006" s="605">
        <f t="shared" si="69"/>
        <v>81.5</v>
      </c>
    </row>
    <row r="1007" spans="1:13" ht="15">
      <c r="A1007" s="130" t="s">
        <v>589</v>
      </c>
      <c r="B1007" s="184" t="s">
        <v>1333</v>
      </c>
      <c r="C1007" s="124" t="s">
        <v>1594</v>
      </c>
      <c r="D1007" s="124" t="s">
        <v>1627</v>
      </c>
      <c r="E1007" s="124" t="s">
        <v>466</v>
      </c>
      <c r="F1007" s="124" t="s">
        <v>590</v>
      </c>
      <c r="G1007" s="135">
        <v>100</v>
      </c>
      <c r="H1007" s="135">
        <v>100</v>
      </c>
      <c r="K1007" s="135">
        <v>81.5</v>
      </c>
      <c r="L1007" s="604">
        <f t="shared" si="68"/>
        <v>81.5</v>
      </c>
      <c r="M1007" s="605">
        <f t="shared" si="69"/>
        <v>81.5</v>
      </c>
    </row>
    <row r="1008" spans="1:13" ht="15">
      <c r="A1008" s="136" t="s">
        <v>655</v>
      </c>
      <c r="B1008" s="184" t="s">
        <v>1333</v>
      </c>
      <c r="C1008" s="124" t="s">
        <v>1594</v>
      </c>
      <c r="D1008" s="124" t="s">
        <v>1627</v>
      </c>
      <c r="E1008" s="124" t="s">
        <v>467</v>
      </c>
      <c r="F1008" s="124"/>
      <c r="G1008" s="132">
        <f>G1010</f>
        <v>4.7</v>
      </c>
      <c r="H1008" s="132">
        <f>H1010</f>
        <v>4.7</v>
      </c>
      <c r="K1008" s="132">
        <f>K1010</f>
        <v>1.5</v>
      </c>
      <c r="L1008" s="604">
        <f t="shared" si="68"/>
        <v>31.914893617021274</v>
      </c>
      <c r="M1008" s="605">
        <f t="shared" si="69"/>
        <v>31.914893617021274</v>
      </c>
    </row>
    <row r="1009" spans="1:13" ht="15">
      <c r="A1009" s="130" t="s">
        <v>910</v>
      </c>
      <c r="B1009" s="184" t="s">
        <v>1333</v>
      </c>
      <c r="C1009" s="124" t="s">
        <v>1594</v>
      </c>
      <c r="D1009" s="124" t="s">
        <v>1627</v>
      </c>
      <c r="E1009" s="124" t="s">
        <v>467</v>
      </c>
      <c r="F1009" s="124" t="s">
        <v>911</v>
      </c>
      <c r="G1009" s="132">
        <f>G1010</f>
        <v>4.7</v>
      </c>
      <c r="H1009" s="132">
        <f>H1010</f>
        <v>4.7</v>
      </c>
      <c r="K1009" s="132">
        <f>K1010</f>
        <v>1.5</v>
      </c>
      <c r="L1009" s="604">
        <f t="shared" si="68"/>
        <v>31.914893617021274</v>
      </c>
      <c r="M1009" s="605">
        <f t="shared" si="69"/>
        <v>31.914893617021274</v>
      </c>
    </row>
    <row r="1010" spans="1:13" ht="15">
      <c r="A1010" s="130" t="s">
        <v>589</v>
      </c>
      <c r="B1010" s="184" t="s">
        <v>1333</v>
      </c>
      <c r="C1010" s="124" t="s">
        <v>1594</v>
      </c>
      <c r="D1010" s="124" t="s">
        <v>1627</v>
      </c>
      <c r="E1010" s="124" t="s">
        <v>1686</v>
      </c>
      <c r="F1010" s="124" t="s">
        <v>590</v>
      </c>
      <c r="G1010" s="135">
        <v>4.7</v>
      </c>
      <c r="H1010" s="135">
        <v>4.7</v>
      </c>
      <c r="K1010" s="135">
        <v>1.5</v>
      </c>
      <c r="L1010" s="604">
        <f t="shared" si="68"/>
        <v>31.914893617021274</v>
      </c>
      <c r="M1010" s="605">
        <f t="shared" si="69"/>
        <v>31.914893617021274</v>
      </c>
    </row>
    <row r="1011" spans="1:13" ht="27">
      <c r="A1011" s="181" t="s">
        <v>1280</v>
      </c>
      <c r="B1011" s="182" t="s">
        <v>561</v>
      </c>
      <c r="C1011" s="184"/>
      <c r="D1011" s="184"/>
      <c r="E1011" s="184"/>
      <c r="F1011" s="184"/>
      <c r="G1011" s="183">
        <f aca="true" t="shared" si="72" ref="G1011:H1014">G1012</f>
        <v>5037.2</v>
      </c>
      <c r="H1011" s="183">
        <f t="shared" si="72"/>
        <v>5037.2</v>
      </c>
      <c r="K1011" s="183">
        <f>K1012</f>
        <v>4597.1</v>
      </c>
      <c r="L1011" s="606">
        <f t="shared" si="68"/>
        <v>91.26300325577704</v>
      </c>
      <c r="M1011" s="607">
        <f t="shared" si="69"/>
        <v>91.26300325577704</v>
      </c>
    </row>
    <row r="1012" spans="1:13" ht="15">
      <c r="A1012" s="186" t="s">
        <v>481</v>
      </c>
      <c r="B1012" s="184" t="s">
        <v>561</v>
      </c>
      <c r="C1012" s="124" t="s">
        <v>1634</v>
      </c>
      <c r="D1012" s="124"/>
      <c r="E1012" s="124"/>
      <c r="F1012" s="124"/>
      <c r="G1012" s="132">
        <f t="shared" si="72"/>
        <v>5037.2</v>
      </c>
      <c r="H1012" s="132">
        <f t="shared" si="72"/>
        <v>5037.2</v>
      </c>
      <c r="K1012" s="132">
        <f>K1013</f>
        <v>4597.1</v>
      </c>
      <c r="L1012" s="604">
        <f t="shared" si="68"/>
        <v>91.26300325577704</v>
      </c>
      <c r="M1012" s="605">
        <f t="shared" si="69"/>
        <v>91.26300325577704</v>
      </c>
    </row>
    <row r="1013" spans="1:13" ht="33.75">
      <c r="A1013" s="133" t="s">
        <v>1631</v>
      </c>
      <c r="B1013" s="184" t="s">
        <v>561</v>
      </c>
      <c r="C1013" s="124" t="s">
        <v>1594</v>
      </c>
      <c r="D1013" s="124" t="s">
        <v>1622</v>
      </c>
      <c r="E1013" s="124"/>
      <c r="F1013" s="124"/>
      <c r="G1013" s="132">
        <f t="shared" si="72"/>
        <v>5037.2</v>
      </c>
      <c r="H1013" s="132">
        <f t="shared" si="72"/>
        <v>5037.2</v>
      </c>
      <c r="K1013" s="132">
        <f>K1014</f>
        <v>4597.1</v>
      </c>
      <c r="L1013" s="604">
        <f t="shared" si="68"/>
        <v>91.26300325577704</v>
      </c>
      <c r="M1013" s="605">
        <f t="shared" si="69"/>
        <v>91.26300325577704</v>
      </c>
    </row>
    <row r="1014" spans="1:13" ht="36">
      <c r="A1014" s="129" t="s">
        <v>1616</v>
      </c>
      <c r="B1014" s="184" t="s">
        <v>561</v>
      </c>
      <c r="C1014" s="124" t="s">
        <v>1634</v>
      </c>
      <c r="D1014" s="124" t="s">
        <v>1622</v>
      </c>
      <c r="E1014" s="124" t="s">
        <v>1244</v>
      </c>
      <c r="F1014" s="124"/>
      <c r="G1014" s="132">
        <f t="shared" si="72"/>
        <v>5037.2</v>
      </c>
      <c r="H1014" s="132">
        <f t="shared" si="72"/>
        <v>5037.2</v>
      </c>
      <c r="K1014" s="132">
        <f>K1015</f>
        <v>4597.1</v>
      </c>
      <c r="L1014" s="604">
        <f t="shared" si="68"/>
        <v>91.26300325577704</v>
      </c>
      <c r="M1014" s="605">
        <f t="shared" si="69"/>
        <v>91.26300325577704</v>
      </c>
    </row>
    <row r="1015" spans="1:13" ht="15">
      <c r="A1015" s="129" t="s">
        <v>1494</v>
      </c>
      <c r="B1015" s="184" t="s">
        <v>561</v>
      </c>
      <c r="C1015" s="124" t="s">
        <v>1634</v>
      </c>
      <c r="D1015" s="124" t="s">
        <v>1622</v>
      </c>
      <c r="E1015" s="124" t="s">
        <v>459</v>
      </c>
      <c r="F1015" s="124"/>
      <c r="G1015" s="132">
        <f>G1016+G1018+G1020</f>
        <v>5037.2</v>
      </c>
      <c r="H1015" s="132">
        <f>H1016+H1018+H1020</f>
        <v>5037.2</v>
      </c>
      <c r="K1015" s="132">
        <f>K1016+K1018+K1020</f>
        <v>4597.1</v>
      </c>
      <c r="L1015" s="604">
        <f t="shared" si="68"/>
        <v>91.26300325577704</v>
      </c>
      <c r="M1015" s="605">
        <f t="shared" si="69"/>
        <v>91.26300325577704</v>
      </c>
    </row>
    <row r="1016" spans="1:13" ht="48">
      <c r="A1016" s="130" t="s">
        <v>1311</v>
      </c>
      <c r="B1016" s="184" t="s">
        <v>561</v>
      </c>
      <c r="C1016" s="124" t="s">
        <v>1594</v>
      </c>
      <c r="D1016" s="124" t="s">
        <v>1622</v>
      </c>
      <c r="E1016" s="124" t="s">
        <v>459</v>
      </c>
      <c r="F1016" s="124" t="s">
        <v>1462</v>
      </c>
      <c r="G1016" s="132">
        <f>G1017</f>
        <v>4893.7</v>
      </c>
      <c r="H1016" s="132">
        <f>H1017</f>
        <v>4893.7</v>
      </c>
      <c r="K1016" s="132">
        <f>K1017</f>
        <v>4463.8</v>
      </c>
      <c r="L1016" s="604">
        <f t="shared" si="68"/>
        <v>91.21523591556492</v>
      </c>
      <c r="M1016" s="605">
        <f t="shared" si="69"/>
        <v>91.21523591556492</v>
      </c>
    </row>
    <row r="1017" spans="1:13" ht="30" customHeight="1">
      <c r="A1017" s="130" t="s">
        <v>1039</v>
      </c>
      <c r="B1017" s="184" t="s">
        <v>561</v>
      </c>
      <c r="C1017" s="124" t="s">
        <v>1594</v>
      </c>
      <c r="D1017" s="124" t="s">
        <v>1622</v>
      </c>
      <c r="E1017" s="124" t="s">
        <v>459</v>
      </c>
      <c r="F1017" s="124" t="s">
        <v>1432</v>
      </c>
      <c r="G1017" s="135">
        <v>4893.7</v>
      </c>
      <c r="H1017" s="135">
        <v>4893.7</v>
      </c>
      <c r="K1017" s="135">
        <v>4463.8</v>
      </c>
      <c r="L1017" s="604">
        <f t="shared" si="68"/>
        <v>91.21523591556492</v>
      </c>
      <c r="M1017" s="605">
        <f t="shared" si="69"/>
        <v>91.21523591556492</v>
      </c>
    </row>
    <row r="1018" spans="1:13" ht="24">
      <c r="A1018" s="130" t="s">
        <v>1312</v>
      </c>
      <c r="B1018" s="184" t="s">
        <v>561</v>
      </c>
      <c r="C1018" s="124" t="s">
        <v>1594</v>
      </c>
      <c r="D1018" s="124" t="s">
        <v>1622</v>
      </c>
      <c r="E1018" s="124" t="s">
        <v>459</v>
      </c>
      <c r="F1018" s="124" t="s">
        <v>1704</v>
      </c>
      <c r="G1018" s="132">
        <f>G1019</f>
        <v>103.5</v>
      </c>
      <c r="H1018" s="132">
        <f>H1019</f>
        <v>143.5</v>
      </c>
      <c r="K1018" s="132">
        <f>K1019</f>
        <v>133.3</v>
      </c>
      <c r="L1018" s="604">
        <f t="shared" si="68"/>
        <v>128.792270531401</v>
      </c>
      <c r="M1018" s="605">
        <f t="shared" si="69"/>
        <v>92.89198606271778</v>
      </c>
    </row>
    <row r="1019" spans="1:13" ht="15">
      <c r="A1019" s="130" t="s">
        <v>621</v>
      </c>
      <c r="B1019" s="184" t="s">
        <v>561</v>
      </c>
      <c r="C1019" s="124" t="s">
        <v>1594</v>
      </c>
      <c r="D1019" s="124" t="s">
        <v>1622</v>
      </c>
      <c r="E1019" s="124" t="s">
        <v>459</v>
      </c>
      <c r="F1019" s="124" t="s">
        <v>1619</v>
      </c>
      <c r="G1019" s="135">
        <f>103.5</f>
        <v>103.5</v>
      </c>
      <c r="H1019" s="135">
        <f>103.5+40</f>
        <v>143.5</v>
      </c>
      <c r="K1019" s="135">
        <v>133.3</v>
      </c>
      <c r="L1019" s="604">
        <f t="shared" si="68"/>
        <v>128.792270531401</v>
      </c>
      <c r="M1019" s="605">
        <f t="shared" si="69"/>
        <v>92.89198606271778</v>
      </c>
    </row>
    <row r="1020" spans="1:13" ht="15">
      <c r="A1020" s="130" t="s">
        <v>910</v>
      </c>
      <c r="B1020" s="184" t="s">
        <v>561</v>
      </c>
      <c r="C1020" s="124" t="s">
        <v>1594</v>
      </c>
      <c r="D1020" s="124" t="s">
        <v>1622</v>
      </c>
      <c r="E1020" s="124" t="s">
        <v>459</v>
      </c>
      <c r="F1020" s="124" t="s">
        <v>911</v>
      </c>
      <c r="G1020" s="132">
        <f>G1021</f>
        <v>40</v>
      </c>
      <c r="H1020" s="132">
        <f>H1021</f>
        <v>0</v>
      </c>
      <c r="K1020" s="132">
        <f>K1021</f>
        <v>0</v>
      </c>
      <c r="L1020" s="604">
        <f t="shared" si="68"/>
        <v>0</v>
      </c>
      <c r="M1020" s="605">
        <v>0</v>
      </c>
    </row>
    <row r="1021" spans="1:13" ht="15">
      <c r="A1021" s="130" t="s">
        <v>589</v>
      </c>
      <c r="B1021" s="184" t="s">
        <v>561</v>
      </c>
      <c r="C1021" s="124" t="s">
        <v>1594</v>
      </c>
      <c r="D1021" s="124" t="s">
        <v>1622</v>
      </c>
      <c r="E1021" s="124" t="s">
        <v>459</v>
      </c>
      <c r="F1021" s="124" t="s">
        <v>590</v>
      </c>
      <c r="G1021" s="135">
        <f>40</f>
        <v>40</v>
      </c>
      <c r="H1021" s="135">
        <f>40-40</f>
        <v>0</v>
      </c>
      <c r="K1021" s="135">
        <f>40-40</f>
        <v>0</v>
      </c>
      <c r="L1021" s="604">
        <f t="shared" si="68"/>
        <v>0</v>
      </c>
      <c r="M1021" s="605">
        <v>0</v>
      </c>
    </row>
    <row r="1022" spans="1:13" ht="27">
      <c r="A1022" s="181" t="s">
        <v>119</v>
      </c>
      <c r="B1022" s="182" t="s">
        <v>1309</v>
      </c>
      <c r="C1022" s="182"/>
      <c r="D1022" s="182"/>
      <c r="E1022" s="182"/>
      <c r="F1022" s="182"/>
      <c r="G1022" s="183">
        <f aca="true" t="shared" si="73" ref="G1022:H1024">G1023</f>
        <v>20483.8</v>
      </c>
      <c r="H1022" s="183">
        <f t="shared" si="73"/>
        <v>20483.8</v>
      </c>
      <c r="K1022" s="183">
        <f>K1023</f>
        <v>18636.600000000002</v>
      </c>
      <c r="L1022" s="606">
        <f t="shared" si="68"/>
        <v>90.98214198537381</v>
      </c>
      <c r="M1022" s="607">
        <f t="shared" si="69"/>
        <v>90.98214198537381</v>
      </c>
    </row>
    <row r="1023" spans="1:13" ht="15">
      <c r="A1023" s="186" t="s">
        <v>481</v>
      </c>
      <c r="B1023" s="184" t="s">
        <v>1309</v>
      </c>
      <c r="C1023" s="124" t="s">
        <v>1594</v>
      </c>
      <c r="D1023" s="124"/>
      <c r="E1023" s="124"/>
      <c r="F1023" s="124"/>
      <c r="G1023" s="132">
        <f t="shared" si="73"/>
        <v>20483.8</v>
      </c>
      <c r="H1023" s="132">
        <f t="shared" si="73"/>
        <v>20483.8</v>
      </c>
      <c r="K1023" s="132">
        <f>K1024</f>
        <v>18636.600000000002</v>
      </c>
      <c r="L1023" s="604">
        <f t="shared" si="68"/>
        <v>90.98214198537381</v>
      </c>
      <c r="M1023" s="605">
        <f t="shared" si="69"/>
        <v>90.98214198537381</v>
      </c>
    </row>
    <row r="1024" spans="1:13" ht="33.75">
      <c r="A1024" s="133" t="s">
        <v>1631</v>
      </c>
      <c r="B1024" s="184" t="s">
        <v>1309</v>
      </c>
      <c r="C1024" s="124" t="s">
        <v>1594</v>
      </c>
      <c r="D1024" s="124" t="s">
        <v>1622</v>
      </c>
      <c r="E1024" s="124"/>
      <c r="F1024" s="124"/>
      <c r="G1024" s="132">
        <f t="shared" si="73"/>
        <v>20483.8</v>
      </c>
      <c r="H1024" s="132">
        <f t="shared" si="73"/>
        <v>20483.8</v>
      </c>
      <c r="K1024" s="132">
        <f>K1025</f>
        <v>18636.600000000002</v>
      </c>
      <c r="L1024" s="604">
        <f t="shared" si="68"/>
        <v>90.98214198537381</v>
      </c>
      <c r="M1024" s="605">
        <f t="shared" si="69"/>
        <v>90.98214198537381</v>
      </c>
    </row>
    <row r="1025" spans="1:13" ht="24">
      <c r="A1025" s="137" t="s">
        <v>460</v>
      </c>
      <c r="B1025" s="184" t="s">
        <v>1309</v>
      </c>
      <c r="C1025" s="124" t="s">
        <v>1594</v>
      </c>
      <c r="D1025" s="124" t="s">
        <v>1622</v>
      </c>
      <c r="E1025" s="124" t="s">
        <v>123</v>
      </c>
      <c r="F1025" s="124"/>
      <c r="G1025" s="132">
        <f>G1026+G1034</f>
        <v>20483.8</v>
      </c>
      <c r="H1025" s="132">
        <f>H1026+H1034</f>
        <v>20483.8</v>
      </c>
      <c r="K1025" s="132">
        <f>K1026+K1034</f>
        <v>18636.600000000002</v>
      </c>
      <c r="L1025" s="604">
        <f t="shared" si="68"/>
        <v>90.98214198537381</v>
      </c>
      <c r="M1025" s="605">
        <f t="shared" si="69"/>
        <v>90.98214198537381</v>
      </c>
    </row>
    <row r="1026" spans="1:13" ht="36">
      <c r="A1026" s="134" t="s">
        <v>461</v>
      </c>
      <c r="B1026" s="184" t="s">
        <v>1309</v>
      </c>
      <c r="C1026" s="124" t="s">
        <v>1594</v>
      </c>
      <c r="D1026" s="124" t="s">
        <v>1622</v>
      </c>
      <c r="E1026" s="124" t="s">
        <v>462</v>
      </c>
      <c r="F1026" s="124"/>
      <c r="G1026" s="132">
        <f>G1027+G1029+G1031</f>
        <v>20483.8</v>
      </c>
      <c r="H1026" s="132">
        <f>H1027+H1029+H1031</f>
        <v>20483.8</v>
      </c>
      <c r="K1026" s="132">
        <f>K1027+K1029+K1031</f>
        <v>18636.600000000002</v>
      </c>
      <c r="L1026" s="604">
        <f t="shared" si="68"/>
        <v>90.98214198537381</v>
      </c>
      <c r="M1026" s="605">
        <f t="shared" si="69"/>
        <v>90.98214198537381</v>
      </c>
    </row>
    <row r="1027" spans="1:18" ht="48">
      <c r="A1027" s="130" t="s">
        <v>1311</v>
      </c>
      <c r="B1027" s="184" t="s">
        <v>1309</v>
      </c>
      <c r="C1027" s="124" t="s">
        <v>1594</v>
      </c>
      <c r="D1027" s="124" t="s">
        <v>1622</v>
      </c>
      <c r="E1027" s="124" t="s">
        <v>463</v>
      </c>
      <c r="F1027" s="124" t="s">
        <v>1462</v>
      </c>
      <c r="G1027" s="132">
        <f>G1028</f>
        <v>20132.8</v>
      </c>
      <c r="H1027" s="132">
        <f>H1028</f>
        <v>20132.8</v>
      </c>
      <c r="K1027" s="132">
        <f>K1028</f>
        <v>18393.4</v>
      </c>
      <c r="L1027" s="604">
        <f t="shared" si="68"/>
        <v>91.36036716204404</v>
      </c>
      <c r="M1027" s="605">
        <f t="shared" si="69"/>
        <v>91.36036716204404</v>
      </c>
      <c r="N1027" s="49"/>
      <c r="O1027" s="49"/>
      <c r="P1027" s="49"/>
      <c r="Q1027" s="49"/>
      <c r="R1027" s="49"/>
    </row>
    <row r="1028" spans="1:13" ht="25.5" customHeight="1">
      <c r="A1028" s="130" t="s">
        <v>1039</v>
      </c>
      <c r="B1028" s="184" t="s">
        <v>1309</v>
      </c>
      <c r="C1028" s="124" t="s">
        <v>1594</v>
      </c>
      <c r="D1028" s="124" t="s">
        <v>1622</v>
      </c>
      <c r="E1028" s="124" t="s">
        <v>463</v>
      </c>
      <c r="F1028" s="124" t="s">
        <v>1432</v>
      </c>
      <c r="G1028" s="135">
        <v>20132.8</v>
      </c>
      <c r="H1028" s="135">
        <v>20132.8</v>
      </c>
      <c r="K1028" s="135">
        <v>18393.4</v>
      </c>
      <c r="L1028" s="604">
        <f t="shared" si="68"/>
        <v>91.36036716204404</v>
      </c>
      <c r="M1028" s="605">
        <f t="shared" si="69"/>
        <v>91.36036716204404</v>
      </c>
    </row>
    <row r="1029" spans="1:13" ht="24">
      <c r="A1029" s="130" t="s">
        <v>1312</v>
      </c>
      <c r="B1029" s="184" t="s">
        <v>1309</v>
      </c>
      <c r="C1029" s="124" t="s">
        <v>1594</v>
      </c>
      <c r="D1029" s="124" t="s">
        <v>1622</v>
      </c>
      <c r="E1029" s="124" t="s">
        <v>463</v>
      </c>
      <c r="F1029" s="124" t="s">
        <v>1704</v>
      </c>
      <c r="G1029" s="132">
        <f>G1030</f>
        <v>339</v>
      </c>
      <c r="H1029" s="132">
        <f>H1030</f>
        <v>339</v>
      </c>
      <c r="K1029" s="132">
        <f>K1030</f>
        <v>241.2</v>
      </c>
      <c r="L1029" s="604">
        <f t="shared" si="68"/>
        <v>71.15044247787611</v>
      </c>
      <c r="M1029" s="605">
        <f t="shared" si="69"/>
        <v>71.15044247787611</v>
      </c>
    </row>
    <row r="1030" spans="1:13" ht="15">
      <c r="A1030" s="130" t="s">
        <v>621</v>
      </c>
      <c r="B1030" s="184" t="s">
        <v>1309</v>
      </c>
      <c r="C1030" s="124" t="s">
        <v>1594</v>
      </c>
      <c r="D1030" s="124" t="s">
        <v>1622</v>
      </c>
      <c r="E1030" s="124" t="s">
        <v>463</v>
      </c>
      <c r="F1030" s="124" t="s">
        <v>1619</v>
      </c>
      <c r="G1030" s="135">
        <v>339</v>
      </c>
      <c r="H1030" s="135">
        <v>339</v>
      </c>
      <c r="K1030" s="135">
        <v>241.2</v>
      </c>
      <c r="L1030" s="604">
        <f t="shared" si="68"/>
        <v>71.15044247787611</v>
      </c>
      <c r="M1030" s="605">
        <f t="shared" si="69"/>
        <v>71.15044247787611</v>
      </c>
    </row>
    <row r="1031" spans="1:13" ht="15">
      <c r="A1031" s="130" t="s">
        <v>910</v>
      </c>
      <c r="B1031" s="184" t="s">
        <v>1309</v>
      </c>
      <c r="C1031" s="124" t="s">
        <v>1594</v>
      </c>
      <c r="D1031" s="124" t="s">
        <v>1622</v>
      </c>
      <c r="E1031" s="124" t="s">
        <v>464</v>
      </c>
      <c r="F1031" s="124" t="s">
        <v>911</v>
      </c>
      <c r="G1031" s="132">
        <f>G1032</f>
        <v>12</v>
      </c>
      <c r="H1031" s="132">
        <f>H1032</f>
        <v>12</v>
      </c>
      <c r="K1031" s="132">
        <f>K1032</f>
        <v>2</v>
      </c>
      <c r="L1031" s="604">
        <f t="shared" si="68"/>
        <v>16.666666666666664</v>
      </c>
      <c r="M1031" s="605">
        <f t="shared" si="69"/>
        <v>16.666666666666664</v>
      </c>
    </row>
    <row r="1032" spans="1:13" ht="15">
      <c r="A1032" s="130" t="s">
        <v>589</v>
      </c>
      <c r="B1032" s="184" t="s">
        <v>1309</v>
      </c>
      <c r="C1032" s="124" t="s">
        <v>1594</v>
      </c>
      <c r="D1032" s="124" t="s">
        <v>1622</v>
      </c>
      <c r="E1032" s="124" t="s">
        <v>464</v>
      </c>
      <c r="F1032" s="124" t="s">
        <v>590</v>
      </c>
      <c r="G1032" s="135">
        <v>12</v>
      </c>
      <c r="H1032" s="135">
        <v>12</v>
      </c>
      <c r="K1032" s="135">
        <v>2</v>
      </c>
      <c r="L1032" s="604">
        <f t="shared" si="68"/>
        <v>16.666666666666664</v>
      </c>
      <c r="M1032" s="605">
        <f t="shared" si="69"/>
        <v>16.666666666666664</v>
      </c>
    </row>
    <row r="1033" spans="1:13" ht="15">
      <c r="A1033" s="130"/>
      <c r="B1033" s="124"/>
      <c r="C1033" s="124"/>
      <c r="D1033" s="124"/>
      <c r="E1033" s="124"/>
      <c r="F1033" s="124"/>
      <c r="G1033" s="135"/>
      <c r="H1033" s="135"/>
      <c r="K1033" s="135"/>
      <c r="L1033" s="230"/>
      <c r="M1033" s="189"/>
    </row>
    <row r="1034" spans="1:13" ht="15">
      <c r="A1034" s="192" t="s">
        <v>1040</v>
      </c>
      <c r="B1034" s="193"/>
      <c r="C1034" s="194"/>
      <c r="D1034" s="194"/>
      <c r="E1034" s="194"/>
      <c r="F1034" s="194"/>
      <c r="G1034" s="195"/>
      <c r="H1034" s="195"/>
      <c r="K1034" s="195"/>
      <c r="L1034" s="230"/>
      <c r="M1034" s="189"/>
    </row>
    <row r="1035" spans="1:13" ht="15">
      <c r="A1035" s="185" t="s">
        <v>1041</v>
      </c>
      <c r="B1035" s="196"/>
      <c r="C1035" s="124"/>
      <c r="D1035" s="124"/>
      <c r="E1035" s="124"/>
      <c r="F1035" s="124"/>
      <c r="G1035" s="135"/>
      <c r="H1035" s="135"/>
      <c r="K1035" s="135"/>
      <c r="L1035" s="230"/>
      <c r="M1035" s="189"/>
    </row>
    <row r="1036" spans="1:13" ht="15">
      <c r="A1036" s="130"/>
      <c r="B1036" s="124"/>
      <c r="C1036" s="124"/>
      <c r="D1036" s="124"/>
      <c r="E1036" s="124"/>
      <c r="F1036" s="124"/>
      <c r="G1036" s="132"/>
      <c r="H1036" s="132"/>
      <c r="K1036" s="132"/>
      <c r="L1036" s="230"/>
      <c r="M1036" s="189"/>
    </row>
    <row r="1037" spans="1:13" ht="15">
      <c r="A1037" s="129"/>
      <c r="B1037" s="124"/>
      <c r="C1037" s="124"/>
      <c r="D1037" s="124"/>
      <c r="E1037" s="124"/>
      <c r="F1037" s="124"/>
      <c r="G1037" s="135"/>
      <c r="H1037" s="135"/>
      <c r="K1037" s="135"/>
      <c r="L1037" s="230"/>
      <c r="M1037" s="189"/>
    </row>
    <row r="1038" spans="1:13" ht="15">
      <c r="A1038" s="134"/>
      <c r="B1038" s="124"/>
      <c r="C1038" s="124"/>
      <c r="D1038" s="124"/>
      <c r="E1038" s="124"/>
      <c r="F1038" s="124"/>
      <c r="G1038" s="135"/>
      <c r="H1038" s="135"/>
      <c r="I1038" s="135"/>
      <c r="J1038" s="229"/>
      <c r="K1038" s="135"/>
      <c r="L1038" s="135"/>
      <c r="M1038" s="135"/>
    </row>
    <row r="1039" spans="1:8" ht="15">
      <c r="A1039" s="134"/>
      <c r="B1039" s="124"/>
      <c r="C1039" s="124"/>
      <c r="D1039" s="124"/>
      <c r="E1039" s="124"/>
      <c r="F1039" s="124"/>
      <c r="G1039" s="124"/>
      <c r="H1039" s="132"/>
    </row>
    <row r="1040" spans="1:8" ht="15">
      <c r="A1040" s="130"/>
      <c r="B1040" s="124"/>
      <c r="C1040" s="124"/>
      <c r="D1040" s="124"/>
      <c r="E1040" s="124"/>
      <c r="F1040" s="124"/>
      <c r="G1040" s="124"/>
      <c r="H1040" s="132"/>
    </row>
    <row r="1041" spans="1:8" ht="15">
      <c r="A1041" s="129"/>
      <c r="B1041" s="124"/>
      <c r="C1041" s="124"/>
      <c r="D1041" s="124"/>
      <c r="E1041" s="124"/>
      <c r="F1041" s="124"/>
      <c r="G1041" s="124"/>
      <c r="H1041" s="135"/>
    </row>
    <row r="1042" spans="1:8" ht="15">
      <c r="A1042" s="134"/>
      <c r="B1042" s="124"/>
      <c r="C1042" s="124"/>
      <c r="D1042" s="124"/>
      <c r="E1042" s="124"/>
      <c r="F1042" s="124"/>
      <c r="G1042" s="124"/>
      <c r="H1042" s="135"/>
    </row>
    <row r="1043" spans="1:8" ht="15">
      <c r="A1043" s="134"/>
      <c r="B1043" s="124"/>
      <c r="C1043" s="124"/>
      <c r="D1043" s="124"/>
      <c r="E1043" s="124"/>
      <c r="F1043" s="124"/>
      <c r="G1043" s="124"/>
      <c r="H1043" s="132"/>
    </row>
    <row r="1044" spans="1:8" ht="15">
      <c r="A1044" s="130"/>
      <c r="B1044" s="124"/>
      <c r="C1044" s="124"/>
      <c r="D1044" s="124"/>
      <c r="E1044" s="124"/>
      <c r="F1044" s="124"/>
      <c r="G1044" s="124"/>
      <c r="H1044" s="132"/>
    </row>
    <row r="1045" spans="1:8" ht="15">
      <c r="A1045" s="129"/>
      <c r="B1045" s="124"/>
      <c r="C1045" s="124"/>
      <c r="D1045" s="124"/>
      <c r="E1045" s="124"/>
      <c r="F1045" s="124"/>
      <c r="G1045" s="124"/>
      <c r="H1045" s="135"/>
    </row>
    <row r="1046" spans="1:8" ht="15">
      <c r="A1046" s="134"/>
      <c r="B1046" s="124"/>
      <c r="C1046" s="124"/>
      <c r="D1046" s="124"/>
      <c r="E1046" s="124"/>
      <c r="F1046" s="124"/>
      <c r="G1046" s="124"/>
      <c r="H1046" s="135"/>
    </row>
    <row r="1047" spans="1:8" ht="15">
      <c r="A1047" s="134"/>
      <c r="B1047" s="124"/>
      <c r="C1047" s="124"/>
      <c r="D1047" s="124"/>
      <c r="E1047" s="124"/>
      <c r="F1047" s="124"/>
      <c r="G1047" s="124"/>
      <c r="H1047" s="132"/>
    </row>
  </sheetData>
  <sheetProtection/>
  <mergeCells count="12">
    <mergeCell ref="D8:D9"/>
    <mergeCell ref="E8:E9"/>
    <mergeCell ref="F8:F9"/>
    <mergeCell ref="G8:G9"/>
    <mergeCell ref="H8:H9"/>
    <mergeCell ref="K8:K9"/>
    <mergeCell ref="A5:M5"/>
    <mergeCell ref="A6:M6"/>
    <mergeCell ref="L8:M8"/>
    <mergeCell ref="A8:A9"/>
    <mergeCell ref="B8:B9"/>
    <mergeCell ref="C8:C9"/>
  </mergeCells>
  <printOptions/>
  <pageMargins left="0.7480314960629921" right="0.7480314960629921" top="0.6692913385826772" bottom="0.5118110236220472" header="0.5118110236220472" footer="0.5118110236220472"/>
  <pageSetup firstPageNumber="37" useFirstPageNumber="1" fitToHeight="0" fitToWidth="1" horizontalDpi="600" verticalDpi="600" orientation="portrait" paperSize="9" scale="59" r:id="rId3"/>
  <headerFooter alignWithMargins="0">
    <oddFooter>&amp;R&amp;P</oddFooter>
  </headerFooter>
  <colBreaks count="1" manualBreakCount="1">
    <brk id="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showGridLines="0" showZeros="0" view="pageBreakPreview" zoomScale="115" zoomScaleSheetLayoutView="115" workbookViewId="0" topLeftCell="A15">
      <selection activeCell="D17" sqref="D17"/>
    </sheetView>
  </sheetViews>
  <sheetFormatPr defaultColWidth="38.50390625" defaultRowHeight="12.75"/>
  <cols>
    <col min="1" max="1" width="24.50390625" style="15" customWidth="1"/>
    <col min="2" max="2" width="52.50390625" style="15" customWidth="1"/>
    <col min="3" max="3" width="17.50390625" style="15" customWidth="1"/>
    <col min="4" max="4" width="22.00390625" style="51" customWidth="1"/>
    <col min="5" max="5" width="17.375" style="15" customWidth="1"/>
    <col min="6" max="16384" width="38.50390625" style="15" customWidth="1"/>
  </cols>
  <sheetData>
    <row r="1" ht="12.75" hidden="1">
      <c r="D1" s="90"/>
    </row>
    <row r="2" ht="12.75" hidden="1">
      <c r="D2" s="36"/>
    </row>
    <row r="3" ht="12.75" hidden="1">
      <c r="D3" s="50"/>
    </row>
    <row r="4" ht="12.75" hidden="1">
      <c r="D4" s="50"/>
    </row>
    <row r="5" ht="12.75" hidden="1">
      <c r="D5" s="36" t="s">
        <v>389</v>
      </c>
    </row>
    <row r="6" ht="12.75" hidden="1">
      <c r="D6" s="36" t="s">
        <v>772</v>
      </c>
    </row>
    <row r="7" ht="12.75" hidden="1">
      <c r="D7" s="50" t="s">
        <v>115</v>
      </c>
    </row>
    <row r="8" spans="2:3" ht="18" customHeight="1" hidden="1">
      <c r="B8" s="91"/>
      <c r="C8" s="91"/>
    </row>
    <row r="9" spans="2:4" ht="18" customHeight="1" hidden="1">
      <c r="B9" s="92"/>
      <c r="C9" s="92"/>
      <c r="D9" s="8"/>
    </row>
    <row r="10" spans="2:4" ht="18" customHeight="1" hidden="1">
      <c r="B10" s="92"/>
      <c r="C10" s="92"/>
      <c r="D10" s="8"/>
    </row>
    <row r="11" spans="2:4" ht="18" customHeight="1" hidden="1">
      <c r="B11" s="93"/>
      <c r="C11" s="93"/>
      <c r="D11" s="57"/>
    </row>
    <row r="12" spans="2:4" ht="18" customHeight="1" hidden="1">
      <c r="B12" s="93"/>
      <c r="C12" s="93"/>
      <c r="D12" s="8" t="s">
        <v>806</v>
      </c>
    </row>
    <row r="13" spans="2:4" ht="18" customHeight="1" hidden="1">
      <c r="B13" s="93"/>
      <c r="C13" s="93"/>
      <c r="D13" s="8" t="s">
        <v>772</v>
      </c>
    </row>
    <row r="14" spans="2:4" ht="18" customHeight="1" hidden="1">
      <c r="B14" s="93"/>
      <c r="C14" s="93"/>
      <c r="D14" s="57" t="s">
        <v>415</v>
      </c>
    </row>
    <row r="15" spans="2:4" ht="18" customHeight="1">
      <c r="B15" s="93"/>
      <c r="C15" s="93"/>
      <c r="D15" s="8" t="s">
        <v>1551</v>
      </c>
    </row>
    <row r="16" spans="2:4" ht="15" customHeight="1">
      <c r="B16" s="93"/>
      <c r="C16" s="93"/>
      <c r="D16" s="8" t="s">
        <v>772</v>
      </c>
    </row>
    <row r="17" spans="2:4" ht="12.75" customHeight="1">
      <c r="B17" s="93"/>
      <c r="C17" s="93"/>
      <c r="D17" s="57" t="s">
        <v>1738</v>
      </c>
    </row>
    <row r="18" spans="2:4" ht="15" customHeight="1">
      <c r="B18" s="93"/>
      <c r="C18" s="93"/>
      <c r="D18" s="57"/>
    </row>
    <row r="19" spans="1:4" ht="15.75" customHeight="1">
      <c r="A19" s="2"/>
      <c r="B19" s="4"/>
      <c r="C19" s="4"/>
      <c r="D19" s="79"/>
    </row>
    <row r="20" spans="1:4" ht="18" customHeight="1">
      <c r="A20" s="2"/>
      <c r="B20" s="4"/>
      <c r="C20" s="4"/>
      <c r="D20" s="79"/>
    </row>
    <row r="21" spans="1:5" ht="15.75">
      <c r="A21" s="648" t="s">
        <v>379</v>
      </c>
      <c r="B21" s="648"/>
      <c r="C21" s="648"/>
      <c r="D21" s="648"/>
      <c r="E21" s="648"/>
    </row>
    <row r="22" spans="1:5" ht="15.75">
      <c r="A22" s="648" t="s">
        <v>1550</v>
      </c>
      <c r="B22" s="648"/>
      <c r="C22" s="648"/>
      <c r="D22" s="648"/>
      <c r="E22" s="648"/>
    </row>
    <row r="23" spans="1:4" ht="33" customHeight="1">
      <c r="A23" s="81"/>
      <c r="D23" s="56" t="s">
        <v>773</v>
      </c>
    </row>
    <row r="24" spans="1:5" ht="37.5" customHeight="1">
      <c r="A24" s="640" t="s">
        <v>560</v>
      </c>
      <c r="B24" s="642" t="s">
        <v>1256</v>
      </c>
      <c r="C24" s="651" t="s">
        <v>1571</v>
      </c>
      <c r="D24" s="646" t="s">
        <v>1572</v>
      </c>
      <c r="E24" s="649" t="s">
        <v>1573</v>
      </c>
    </row>
    <row r="25" spans="1:5" ht="12.75" customHeight="1">
      <c r="A25" s="641"/>
      <c r="B25" s="643"/>
      <c r="C25" s="652"/>
      <c r="D25" s="647"/>
      <c r="E25" s="650"/>
    </row>
    <row r="26" spans="1:5" ht="18.75" customHeight="1">
      <c r="A26" s="644" t="s">
        <v>632</v>
      </c>
      <c r="B26" s="645"/>
      <c r="C26" s="103">
        <v>-342515.5</v>
      </c>
      <c r="D26" s="103">
        <f>'[1]Прил. 2 Доходы 2015'!C231-'[1]Прил. 4 Функциональная 2015'!F19</f>
        <v>-525385.2599999998</v>
      </c>
      <c r="E26" s="423">
        <f>E51-E62</f>
        <v>-271484.2000000002</v>
      </c>
    </row>
    <row r="27" spans="1:5" ht="18" customHeight="1">
      <c r="A27" s="638" t="s">
        <v>1215</v>
      </c>
      <c r="B27" s="639"/>
      <c r="C27" s="1">
        <f>C28+C33+C38+C43+C65</f>
        <v>342515.5</v>
      </c>
      <c r="D27" s="1">
        <f>D28+D33+D38+D43+D65</f>
        <v>525385.1999999993</v>
      </c>
      <c r="E27" s="424">
        <f>E28+E33+E38+E43+E65</f>
        <v>271484.2000000002</v>
      </c>
    </row>
    <row r="28" spans="1:5" ht="27" customHeight="1" hidden="1">
      <c r="A28" s="85" t="s">
        <v>500</v>
      </c>
      <c r="B28" s="62" t="s">
        <v>501</v>
      </c>
      <c r="C28" s="104">
        <f>C29-C31</f>
        <v>0</v>
      </c>
      <c r="D28" s="104">
        <f>D29-D31</f>
        <v>0</v>
      </c>
      <c r="E28" s="425">
        <f>E29-E31</f>
        <v>0</v>
      </c>
    </row>
    <row r="29" spans="1:5" ht="40.5" customHeight="1" hidden="1">
      <c r="A29" s="86" t="s">
        <v>502</v>
      </c>
      <c r="B29" s="63" t="s">
        <v>503</v>
      </c>
      <c r="C29" s="104">
        <f>C30</f>
        <v>0</v>
      </c>
      <c r="D29" s="104">
        <f>D30</f>
        <v>0</v>
      </c>
      <c r="E29" s="425">
        <f>E30</f>
        <v>0</v>
      </c>
    </row>
    <row r="30" spans="1:5" ht="39.75" customHeight="1" hidden="1">
      <c r="A30" s="86" t="s">
        <v>504</v>
      </c>
      <c r="B30" s="64" t="s">
        <v>505</v>
      </c>
      <c r="C30" s="19"/>
      <c r="D30" s="19"/>
      <c r="E30" s="426"/>
    </row>
    <row r="31" spans="1:5" ht="38.25" customHeight="1" hidden="1">
      <c r="A31" s="86" t="s">
        <v>506</v>
      </c>
      <c r="B31" s="69" t="s">
        <v>507</v>
      </c>
      <c r="C31" s="52">
        <f>C32</f>
        <v>0</v>
      </c>
      <c r="D31" s="52">
        <f>D32</f>
        <v>0</v>
      </c>
      <c r="E31" s="427">
        <f>E32</f>
        <v>0</v>
      </c>
    </row>
    <row r="32" spans="1:5" ht="36.75" customHeight="1" hidden="1">
      <c r="A32" s="86" t="s">
        <v>508</v>
      </c>
      <c r="B32" s="65" t="s">
        <v>515</v>
      </c>
      <c r="C32" s="53"/>
      <c r="D32" s="53"/>
      <c r="E32" s="428"/>
    </row>
    <row r="33" spans="1:5" ht="27" customHeight="1">
      <c r="A33" s="85" t="s">
        <v>1238</v>
      </c>
      <c r="B33" s="62" t="s">
        <v>839</v>
      </c>
      <c r="C33" s="104">
        <f>C34-C37</f>
        <v>292515.5</v>
      </c>
      <c r="D33" s="104">
        <f>D34-D37</f>
        <v>0</v>
      </c>
      <c r="E33" s="425">
        <f>E34-E37</f>
        <v>0</v>
      </c>
    </row>
    <row r="34" spans="1:5" ht="27.75" customHeight="1">
      <c r="A34" s="86" t="s">
        <v>812</v>
      </c>
      <c r="B34" s="63" t="s">
        <v>449</v>
      </c>
      <c r="C34" s="104">
        <f>C35</f>
        <v>300000</v>
      </c>
      <c r="D34" s="104">
        <f>D35</f>
        <v>0</v>
      </c>
      <c r="E34" s="425">
        <f>E35</f>
        <v>0</v>
      </c>
    </row>
    <row r="35" spans="1:5" ht="26.25">
      <c r="A35" s="86" t="s">
        <v>813</v>
      </c>
      <c r="B35" s="64" t="s">
        <v>435</v>
      </c>
      <c r="C35" s="19">
        <v>300000</v>
      </c>
      <c r="D35" s="19">
        <v>0</v>
      </c>
      <c r="E35" s="426">
        <v>0</v>
      </c>
    </row>
    <row r="36" spans="1:5" ht="26.25">
      <c r="A36" s="86" t="s">
        <v>436</v>
      </c>
      <c r="B36" s="69" t="s">
        <v>437</v>
      </c>
      <c r="C36" s="52">
        <f>C37</f>
        <v>7484.5</v>
      </c>
      <c r="D36" s="52">
        <f>D37</f>
        <v>0</v>
      </c>
      <c r="E36" s="427">
        <f>E37</f>
        <v>0</v>
      </c>
    </row>
    <row r="37" spans="1:5" ht="29.25" customHeight="1">
      <c r="A37" s="86" t="s">
        <v>838</v>
      </c>
      <c r="B37" s="65" t="s">
        <v>63</v>
      </c>
      <c r="C37" s="53">
        <v>7484.5</v>
      </c>
      <c r="D37" s="53">
        <v>0</v>
      </c>
      <c r="E37" s="428">
        <v>0</v>
      </c>
    </row>
    <row r="38" spans="1:5" s="35" customFormat="1" ht="34.5" customHeight="1" hidden="1">
      <c r="A38" s="87" t="s">
        <v>64</v>
      </c>
      <c r="B38" s="66" t="s">
        <v>450</v>
      </c>
      <c r="C38" s="52">
        <f>C39-C41</f>
        <v>0</v>
      </c>
      <c r="D38" s="52">
        <f>D39-D41</f>
        <v>0</v>
      </c>
      <c r="E38" s="427">
        <f>E39-E41</f>
        <v>0</v>
      </c>
    </row>
    <row r="39" spans="1:5" ht="39" hidden="1">
      <c r="A39" s="86" t="s">
        <v>516</v>
      </c>
      <c r="B39" s="67" t="s">
        <v>517</v>
      </c>
      <c r="C39" s="52">
        <f>C40</f>
        <v>0</v>
      </c>
      <c r="D39" s="52">
        <f>D40</f>
        <v>0</v>
      </c>
      <c r="E39" s="427">
        <f>E40</f>
        <v>0</v>
      </c>
    </row>
    <row r="40" spans="1:5" ht="39" hidden="1">
      <c r="A40" s="86" t="s">
        <v>518</v>
      </c>
      <c r="B40" s="68" t="s">
        <v>906</v>
      </c>
      <c r="C40" s="53"/>
      <c r="D40" s="53"/>
      <c r="E40" s="428"/>
    </row>
    <row r="41" spans="1:5" ht="39" hidden="1">
      <c r="A41" s="86" t="s">
        <v>824</v>
      </c>
      <c r="B41" s="69" t="s">
        <v>1411</v>
      </c>
      <c r="C41" s="52">
        <f>C42</f>
        <v>0</v>
      </c>
      <c r="D41" s="52">
        <f>D42</f>
        <v>0</v>
      </c>
      <c r="E41" s="427">
        <f>E42</f>
        <v>0</v>
      </c>
    </row>
    <row r="42" spans="1:5" ht="39" hidden="1">
      <c r="A42" s="86" t="s">
        <v>825</v>
      </c>
      <c r="B42" s="64" t="s">
        <v>1331</v>
      </c>
      <c r="C42" s="53"/>
      <c r="D42" s="53"/>
      <c r="E42" s="428"/>
    </row>
    <row r="43" spans="1:5" s="35" customFormat="1" ht="26.25">
      <c r="A43" s="87" t="s">
        <v>1332</v>
      </c>
      <c r="B43" s="62" t="s">
        <v>19</v>
      </c>
      <c r="C43" s="233">
        <f>C54+C60-C49-C44</f>
        <v>50000</v>
      </c>
      <c r="D43" s="233">
        <f>D54+D60-D49-D44</f>
        <v>525385.1999999993</v>
      </c>
      <c r="E43" s="429">
        <f>E54+E60-E49-E44</f>
        <v>271484.2000000002</v>
      </c>
    </row>
    <row r="44" spans="1:5" ht="15" hidden="1">
      <c r="A44" s="88" t="s">
        <v>826</v>
      </c>
      <c r="B44" s="67" t="s">
        <v>827</v>
      </c>
      <c r="C44" s="233">
        <f>C45+C47</f>
        <v>0</v>
      </c>
      <c r="D44" s="233">
        <f>D45+D47</f>
        <v>0</v>
      </c>
      <c r="E44" s="429">
        <f>E45+E47</f>
        <v>0</v>
      </c>
    </row>
    <row r="45" spans="1:5" ht="33" customHeight="1" hidden="1">
      <c r="A45" s="88" t="s">
        <v>828</v>
      </c>
      <c r="B45" s="68" t="s">
        <v>829</v>
      </c>
      <c r="C45" s="233">
        <f>C46</f>
        <v>0</v>
      </c>
      <c r="D45" s="233">
        <f>D46</f>
        <v>0</v>
      </c>
      <c r="E45" s="429">
        <f>E46</f>
        <v>0</v>
      </c>
    </row>
    <row r="46" spans="1:5" ht="27.75" customHeight="1" hidden="1">
      <c r="A46" s="88" t="s">
        <v>830</v>
      </c>
      <c r="B46" s="68" t="s">
        <v>831</v>
      </c>
      <c r="C46" s="175"/>
      <c r="D46" s="175"/>
      <c r="E46" s="430"/>
    </row>
    <row r="47" spans="1:5" ht="25.5" customHeight="1" hidden="1">
      <c r="A47" s="88" t="s">
        <v>832</v>
      </c>
      <c r="B47" s="68" t="s">
        <v>0</v>
      </c>
      <c r="C47" s="233">
        <f>C48</f>
        <v>0</v>
      </c>
      <c r="D47" s="233">
        <f>D48</f>
        <v>0</v>
      </c>
      <c r="E47" s="429">
        <f>E48</f>
        <v>0</v>
      </c>
    </row>
    <row r="48" spans="1:5" ht="26.25" hidden="1">
      <c r="A48" s="88" t="s">
        <v>1</v>
      </c>
      <c r="B48" s="68" t="s">
        <v>1532</v>
      </c>
      <c r="C48" s="233"/>
      <c r="D48" s="233"/>
      <c r="E48" s="429"/>
    </row>
    <row r="49" spans="1:5" ht="15">
      <c r="A49" s="88" t="s">
        <v>20</v>
      </c>
      <c r="B49" s="67" t="s">
        <v>482</v>
      </c>
      <c r="C49" s="233">
        <f>C50+C52</f>
        <v>5695445.6</v>
      </c>
      <c r="D49" s="233">
        <f>D50+D52</f>
        <v>5857314.4</v>
      </c>
      <c r="E49" s="429">
        <f>E50+E52</f>
        <v>5885537.1</v>
      </c>
    </row>
    <row r="50" spans="1:5" ht="15">
      <c r="A50" s="88" t="s">
        <v>762</v>
      </c>
      <c r="B50" s="68" t="s">
        <v>1698</v>
      </c>
      <c r="C50" s="233">
        <f>C51</f>
        <v>5695445.6</v>
      </c>
      <c r="D50" s="233">
        <f>D51</f>
        <v>5857314.4</v>
      </c>
      <c r="E50" s="429">
        <f>E51</f>
        <v>5885537.1</v>
      </c>
    </row>
    <row r="51" spans="1:5" ht="26.25">
      <c r="A51" s="88" t="s">
        <v>763</v>
      </c>
      <c r="B51" s="68" t="s">
        <v>1533</v>
      </c>
      <c r="C51" s="19">
        <v>5695445.6</v>
      </c>
      <c r="D51" s="19">
        <v>5857314.4</v>
      </c>
      <c r="E51" s="426">
        <v>5885537.1</v>
      </c>
    </row>
    <row r="52" spans="1:5" ht="26.25" hidden="1">
      <c r="A52" s="88" t="s">
        <v>1534</v>
      </c>
      <c r="B52" s="68" t="s">
        <v>1535</v>
      </c>
      <c r="C52" s="233">
        <f>C53</f>
        <v>0</v>
      </c>
      <c r="D52" s="233">
        <f>D53</f>
        <v>0</v>
      </c>
      <c r="E52" s="429">
        <f>E53</f>
        <v>0</v>
      </c>
    </row>
    <row r="53" spans="1:5" ht="27" customHeight="1" hidden="1">
      <c r="A53" s="88" t="s">
        <v>1536</v>
      </c>
      <c r="B53" s="68" t="s">
        <v>1537</v>
      </c>
      <c r="C53" s="233"/>
      <c r="D53" s="233"/>
      <c r="E53" s="429"/>
    </row>
    <row r="54" spans="1:5" ht="15" hidden="1">
      <c r="A54" s="88" t="s">
        <v>1538</v>
      </c>
      <c r="B54" s="67" t="s">
        <v>1539</v>
      </c>
      <c r="C54" s="233"/>
      <c r="D54" s="233"/>
      <c r="E54" s="429"/>
    </row>
    <row r="55" spans="1:5" ht="15" hidden="1">
      <c r="A55" s="88" t="s">
        <v>1540</v>
      </c>
      <c r="B55" s="68" t="s">
        <v>1541</v>
      </c>
      <c r="C55" s="233">
        <f>C56+C58</f>
        <v>0</v>
      </c>
      <c r="D55" s="233">
        <f>D56+D58</f>
        <v>0</v>
      </c>
      <c r="E55" s="429">
        <f>E56+E58</f>
        <v>0</v>
      </c>
    </row>
    <row r="56" spans="1:5" ht="30.75" customHeight="1" hidden="1">
      <c r="A56" s="88" t="s">
        <v>783</v>
      </c>
      <c r="B56" s="68" t="s">
        <v>1437</v>
      </c>
      <c r="C56" s="175">
        <f>C57</f>
        <v>0</v>
      </c>
      <c r="D56" s="175">
        <f>D57</f>
        <v>0</v>
      </c>
      <c r="E56" s="430">
        <f>E57</f>
        <v>0</v>
      </c>
    </row>
    <row r="57" spans="1:5" ht="25.5" customHeight="1" hidden="1">
      <c r="A57" s="88" t="s">
        <v>1438</v>
      </c>
      <c r="B57" s="68" t="s">
        <v>1439</v>
      </c>
      <c r="C57" s="233"/>
      <c r="D57" s="233"/>
      <c r="E57" s="429"/>
    </row>
    <row r="58" spans="1:5" ht="18" customHeight="1" hidden="1">
      <c r="A58" s="88" t="s">
        <v>1440</v>
      </c>
      <c r="B58" s="68" t="s">
        <v>1441</v>
      </c>
      <c r="C58" s="233">
        <f>C59</f>
        <v>0</v>
      </c>
      <c r="D58" s="233">
        <f>D59</f>
        <v>0</v>
      </c>
      <c r="E58" s="429">
        <f>E59</f>
        <v>0</v>
      </c>
    </row>
    <row r="59" spans="1:5" ht="18.75" customHeight="1" hidden="1">
      <c r="A59" s="88" t="s">
        <v>1442</v>
      </c>
      <c r="B59" s="68" t="s">
        <v>668</v>
      </c>
      <c r="C59" s="418"/>
      <c r="D59" s="418"/>
      <c r="E59" s="431"/>
    </row>
    <row r="60" spans="1:5" ht="24" customHeight="1">
      <c r="A60" s="88" t="s">
        <v>764</v>
      </c>
      <c r="B60" s="67" t="s">
        <v>1699</v>
      </c>
      <c r="C60" s="421">
        <f>C61+C63</f>
        <v>5745445.6</v>
      </c>
      <c r="D60" s="421">
        <f>D61+D63</f>
        <v>6382699.6</v>
      </c>
      <c r="E60" s="432">
        <f>E61+E63</f>
        <v>6157021.3</v>
      </c>
    </row>
    <row r="61" spans="1:5" ht="15">
      <c r="A61" s="88" t="s">
        <v>122</v>
      </c>
      <c r="B61" s="68" t="s">
        <v>669</v>
      </c>
      <c r="C61" s="420">
        <f>C62</f>
        <v>5745445.6</v>
      </c>
      <c r="D61" s="420">
        <f>D62</f>
        <v>6382699.6</v>
      </c>
      <c r="E61" s="433">
        <f>E62</f>
        <v>6157021.3</v>
      </c>
    </row>
    <row r="62" spans="1:5" ht="27.75" customHeight="1">
      <c r="A62" s="110" t="s">
        <v>479</v>
      </c>
      <c r="B62" s="422" t="s">
        <v>670</v>
      </c>
      <c r="C62" s="419">
        <v>5745445.6</v>
      </c>
      <c r="D62" s="419">
        <v>6382699.6</v>
      </c>
      <c r="E62" s="434">
        <v>6157021.3</v>
      </c>
    </row>
    <row r="63" spans="1:4" ht="27.75" customHeight="1" hidden="1">
      <c r="A63" s="109" t="s">
        <v>671</v>
      </c>
      <c r="B63" s="97" t="s">
        <v>672</v>
      </c>
      <c r="C63" s="100"/>
      <c r="D63" s="89">
        <f>D64</f>
        <v>0</v>
      </c>
    </row>
    <row r="64" spans="1:4" ht="27.75" customHeight="1" hidden="1">
      <c r="A64" s="88" t="s">
        <v>673</v>
      </c>
      <c r="B64" s="68" t="s">
        <v>674</v>
      </c>
      <c r="C64" s="100"/>
      <c r="D64" s="89"/>
    </row>
    <row r="65" spans="1:4" ht="26.25" hidden="1">
      <c r="A65" s="82" t="s">
        <v>480</v>
      </c>
      <c r="B65" s="83" t="s">
        <v>1374</v>
      </c>
      <c r="C65" s="83"/>
      <c r="D65" s="84">
        <f>D68</f>
        <v>0</v>
      </c>
    </row>
    <row r="66" spans="1:4" ht="39" hidden="1">
      <c r="A66" s="96" t="s">
        <v>675</v>
      </c>
      <c r="B66" s="97" t="s">
        <v>1031</v>
      </c>
      <c r="C66" s="97"/>
      <c r="D66" s="84"/>
    </row>
    <row r="67" spans="1:4" ht="39" hidden="1">
      <c r="A67" s="96" t="s">
        <v>454</v>
      </c>
      <c r="B67" s="97" t="s">
        <v>455</v>
      </c>
      <c r="C67" s="97"/>
      <c r="D67" s="84"/>
    </row>
    <row r="68" spans="1:4" ht="26.25" hidden="1">
      <c r="A68" s="72" t="s">
        <v>578</v>
      </c>
      <c r="B68" s="66" t="s">
        <v>425</v>
      </c>
      <c r="C68" s="66"/>
      <c r="D68" s="52">
        <f>D69</f>
        <v>0</v>
      </c>
    </row>
    <row r="69" spans="1:4" ht="39" hidden="1">
      <c r="A69" s="71" t="s">
        <v>1639</v>
      </c>
      <c r="B69" s="67" t="s">
        <v>1691</v>
      </c>
      <c r="C69" s="67"/>
      <c r="D69" s="52">
        <f>D70</f>
        <v>0</v>
      </c>
    </row>
    <row r="70" spans="1:4" ht="26.25" hidden="1">
      <c r="A70" s="71" t="s">
        <v>456</v>
      </c>
      <c r="B70" s="73" t="s">
        <v>1692</v>
      </c>
      <c r="C70" s="73"/>
      <c r="D70" s="53">
        <v>0</v>
      </c>
    </row>
    <row r="71" spans="1:4" ht="15" hidden="1">
      <c r="A71" s="72" t="s">
        <v>1506</v>
      </c>
      <c r="B71" s="66" t="s">
        <v>1598</v>
      </c>
      <c r="C71" s="66"/>
      <c r="D71" s="52">
        <f>D72</f>
        <v>0</v>
      </c>
    </row>
    <row r="72" spans="1:4" ht="26.25" hidden="1">
      <c r="A72" s="71" t="s">
        <v>583</v>
      </c>
      <c r="B72" s="67" t="s">
        <v>761</v>
      </c>
      <c r="C72" s="67"/>
      <c r="D72" s="52">
        <f>D73</f>
        <v>0</v>
      </c>
    </row>
    <row r="73" spans="1:4" ht="81" customHeight="1" hidden="1">
      <c r="A73" s="70" t="s">
        <v>584</v>
      </c>
      <c r="B73" s="68" t="s">
        <v>585</v>
      </c>
      <c r="C73" s="68"/>
      <c r="D73" s="52">
        <f>D74</f>
        <v>0</v>
      </c>
    </row>
    <row r="74" spans="1:4" ht="78.75" hidden="1">
      <c r="A74" s="70" t="s">
        <v>586</v>
      </c>
      <c r="B74" s="68" t="s">
        <v>1015</v>
      </c>
      <c r="C74" s="68"/>
      <c r="D74" s="53"/>
    </row>
    <row r="75" spans="1:4" s="35" customFormat="1" ht="26.25" hidden="1">
      <c r="A75" s="61" t="s">
        <v>1595</v>
      </c>
      <c r="B75" s="74" t="s">
        <v>1232</v>
      </c>
      <c r="C75" s="74"/>
      <c r="D75" s="54">
        <f>D76-D78</f>
        <v>0</v>
      </c>
    </row>
    <row r="76" spans="1:4" ht="26.25" hidden="1">
      <c r="A76" s="70" t="s">
        <v>1233</v>
      </c>
      <c r="B76" s="75" t="s">
        <v>809</v>
      </c>
      <c r="C76" s="75"/>
      <c r="D76" s="98">
        <f>D77</f>
        <v>0</v>
      </c>
    </row>
    <row r="77" spans="1:4" ht="39" hidden="1">
      <c r="A77" s="70" t="s">
        <v>693</v>
      </c>
      <c r="B77" s="76" t="s">
        <v>90</v>
      </c>
      <c r="C77" s="76"/>
      <c r="D77" s="99"/>
    </row>
    <row r="78" spans="1:4" ht="26.25" hidden="1">
      <c r="A78" s="70" t="s">
        <v>694</v>
      </c>
      <c r="B78" s="75" t="s">
        <v>141</v>
      </c>
      <c r="C78" s="75"/>
      <c r="D78" s="99">
        <f>D79</f>
        <v>0</v>
      </c>
    </row>
    <row r="79" spans="1:4" ht="27" customHeight="1" hidden="1">
      <c r="A79" s="70" t="s">
        <v>135</v>
      </c>
      <c r="B79" s="76" t="s">
        <v>803</v>
      </c>
      <c r="C79" s="76"/>
      <c r="D79" s="99"/>
    </row>
    <row r="80" spans="1:4" ht="26.25" hidden="1">
      <c r="A80" s="61" t="s">
        <v>1630</v>
      </c>
      <c r="B80" s="77" t="s">
        <v>849</v>
      </c>
      <c r="C80" s="77"/>
      <c r="D80" s="37"/>
    </row>
    <row r="81" spans="1:4" ht="25.5" customHeight="1" hidden="1">
      <c r="A81" s="70" t="s">
        <v>804</v>
      </c>
      <c r="B81" s="67" t="s">
        <v>77</v>
      </c>
      <c r="C81" s="67"/>
      <c r="D81" s="37"/>
    </row>
    <row r="82" spans="1:4" ht="26.25" hidden="1">
      <c r="A82" s="70" t="s">
        <v>3</v>
      </c>
      <c r="B82" s="68" t="s">
        <v>4</v>
      </c>
      <c r="C82" s="68"/>
      <c r="D82" s="37"/>
    </row>
    <row r="83" spans="1:4" ht="26.25" hidden="1">
      <c r="A83" s="70" t="s">
        <v>5</v>
      </c>
      <c r="B83" s="68" t="s">
        <v>4</v>
      </c>
      <c r="C83" s="68"/>
      <c r="D83" s="37"/>
    </row>
    <row r="84" spans="1:4" ht="26.25" hidden="1">
      <c r="A84" s="70" t="s">
        <v>6</v>
      </c>
      <c r="B84" s="67" t="s">
        <v>7</v>
      </c>
      <c r="C84" s="67"/>
      <c r="D84" s="37"/>
    </row>
    <row r="85" spans="1:4" ht="26.25" hidden="1">
      <c r="A85" s="70" t="s">
        <v>8</v>
      </c>
      <c r="B85" s="68" t="s">
        <v>9</v>
      </c>
      <c r="C85" s="68"/>
      <c r="D85" s="200"/>
    </row>
    <row r="86" spans="1:4" ht="26.25" hidden="1">
      <c r="A86" s="70" t="s">
        <v>10</v>
      </c>
      <c r="B86" s="68" t="s">
        <v>9</v>
      </c>
      <c r="C86" s="68"/>
      <c r="D86" s="200"/>
    </row>
    <row r="87" spans="1:4" ht="26.25" hidden="1">
      <c r="A87" s="70" t="s">
        <v>613</v>
      </c>
      <c r="B87" s="68" t="s">
        <v>1262</v>
      </c>
      <c r="C87" s="68"/>
      <c r="D87" s="200"/>
    </row>
    <row r="88" spans="1:4" ht="26.25" hidden="1">
      <c r="A88" s="70" t="s">
        <v>1263</v>
      </c>
      <c r="B88" s="68" t="s">
        <v>11</v>
      </c>
      <c r="C88" s="68"/>
      <c r="D88" s="200"/>
    </row>
    <row r="89" spans="1:4" ht="26.25" hidden="1">
      <c r="A89" s="70" t="s">
        <v>816</v>
      </c>
      <c r="B89" s="68" t="s">
        <v>1214</v>
      </c>
      <c r="C89" s="68"/>
      <c r="D89" s="200"/>
    </row>
    <row r="90" spans="1:4" ht="29.25" customHeight="1" hidden="1">
      <c r="A90" s="70" t="s">
        <v>976</v>
      </c>
      <c r="B90" s="68" t="s">
        <v>969</v>
      </c>
      <c r="C90" s="68"/>
      <c r="D90" s="200"/>
    </row>
    <row r="91" spans="1:4" ht="26.25" hidden="1">
      <c r="A91" s="70" t="s">
        <v>970</v>
      </c>
      <c r="B91" s="67" t="s">
        <v>971</v>
      </c>
      <c r="C91" s="67"/>
      <c r="D91" s="200"/>
    </row>
    <row r="92" spans="1:4" ht="66" hidden="1">
      <c r="A92" s="70" t="s">
        <v>972</v>
      </c>
      <c r="B92" s="68" t="s">
        <v>555</v>
      </c>
      <c r="C92" s="68"/>
      <c r="D92" s="200"/>
    </row>
    <row r="93" spans="1:3" ht="78.75" hidden="1">
      <c r="A93" s="70" t="s">
        <v>556</v>
      </c>
      <c r="B93" s="68" t="s">
        <v>739</v>
      </c>
      <c r="C93" s="232"/>
    </row>
    <row r="94" spans="1:4" ht="39" hidden="1">
      <c r="A94" s="70" t="s">
        <v>740</v>
      </c>
      <c r="B94" s="68" t="s">
        <v>741</v>
      </c>
      <c r="C94" s="232"/>
      <c r="D94" s="51">
        <f>D95</f>
        <v>0</v>
      </c>
    </row>
    <row r="95" spans="1:3" ht="52.5" hidden="1">
      <c r="A95" s="70" t="s">
        <v>742</v>
      </c>
      <c r="B95" s="68" t="s">
        <v>1490</v>
      </c>
      <c r="C95" s="232"/>
    </row>
    <row r="96" spans="1:4" ht="66" hidden="1">
      <c r="A96" s="70" t="s">
        <v>1491</v>
      </c>
      <c r="B96" s="68" t="s">
        <v>564</v>
      </c>
      <c r="C96" s="232"/>
      <c r="D96" s="51">
        <f>D97</f>
        <v>0</v>
      </c>
    </row>
    <row r="97" spans="1:3" ht="78.75" hidden="1">
      <c r="A97" s="70" t="s">
        <v>565</v>
      </c>
      <c r="B97" s="68" t="s">
        <v>566</v>
      </c>
      <c r="C97" s="232"/>
    </row>
    <row r="98" spans="1:3" ht="39" hidden="1">
      <c r="A98" s="70" t="s">
        <v>567</v>
      </c>
      <c r="B98" s="68" t="s">
        <v>1670</v>
      </c>
      <c r="C98" s="232"/>
    </row>
    <row r="99" spans="1:3" ht="52.5" hidden="1">
      <c r="A99" s="70" t="s">
        <v>1671</v>
      </c>
      <c r="B99" s="68" t="s">
        <v>666</v>
      </c>
      <c r="C99" s="232"/>
    </row>
    <row r="118" ht="19.5" customHeight="1"/>
    <row r="120" ht="18.75" customHeight="1"/>
    <row r="167" ht="21" customHeight="1"/>
    <row r="173" ht="18.75" customHeight="1"/>
    <row r="174" ht="55.5" customHeight="1"/>
    <row r="176" ht="24" customHeight="1"/>
    <row r="177" ht="18.75" customHeight="1"/>
    <row r="179" ht="14.25" customHeight="1"/>
    <row r="180" ht="16.5" customHeight="1"/>
    <row r="184" ht="18" customHeight="1"/>
    <row r="185" ht="23.25" customHeight="1"/>
    <row r="218" ht="40.5" customHeight="1"/>
    <row r="220" ht="29.25" customHeight="1"/>
    <row r="221" ht="18.75" customHeight="1"/>
    <row r="222" ht="24" customHeight="1"/>
    <row r="223" ht="17.25" customHeight="1"/>
    <row r="224" ht="21" customHeight="1"/>
    <row r="225" ht="17.25" customHeight="1"/>
    <row r="226" ht="38.25" customHeight="1"/>
    <row r="227" ht="25.5" customHeight="1"/>
    <row r="229" ht="25.5" customHeight="1"/>
    <row r="230" ht="19.5" customHeight="1"/>
    <row r="231" ht="24" customHeight="1"/>
    <row r="232" ht="57" customHeight="1"/>
    <row r="234" ht="26.25" customHeight="1"/>
    <row r="235" ht="21.75" customHeight="1"/>
    <row r="236" ht="24" customHeight="1"/>
    <row r="237" ht="66" customHeight="1"/>
    <row r="239" ht="26.25" customHeight="1"/>
    <row r="240" ht="24" customHeight="1"/>
    <row r="241" ht="18.75" customHeight="1"/>
    <row r="242" ht="22.5" customHeight="1"/>
    <row r="243" ht="15" customHeight="1"/>
    <row r="244" ht="31.5" customHeight="1"/>
    <row r="246" ht="18.75" customHeight="1"/>
    <row r="250" ht="22.5" customHeight="1"/>
    <row r="251" ht="18" customHeight="1"/>
    <row r="252" ht="21.75" customHeight="1"/>
    <row r="267" ht="28.5" customHeight="1"/>
    <row r="271" ht="18.75" customHeight="1"/>
    <row r="272" ht="18.75" customHeight="1"/>
    <row r="273" ht="28.5" customHeight="1"/>
    <row r="274" ht="20.25" customHeight="1"/>
    <row r="275" ht="20.25" customHeight="1"/>
    <row r="278" ht="31.5" customHeight="1"/>
    <row r="318" ht="19.5" customHeight="1"/>
    <row r="321" ht="19.5" customHeight="1"/>
    <row r="322" ht="21.75" customHeight="1"/>
    <row r="323" ht="24" customHeight="1"/>
    <row r="326" ht="27.75" customHeight="1"/>
    <row r="327" ht="27.75" customHeight="1"/>
    <row r="328" ht="19.5" customHeight="1"/>
    <row r="329" ht="29.25" customHeight="1"/>
    <row r="331" ht="18.75" customHeight="1"/>
    <row r="332" ht="21.75" customHeight="1"/>
    <row r="333" ht="18.75" customHeight="1"/>
    <row r="335" ht="23.25" customHeight="1"/>
    <row r="337" ht="35.25" customHeight="1"/>
    <row r="338" ht="23.25" customHeight="1"/>
    <row r="339" ht="24" customHeight="1"/>
    <row r="340" ht="24" customHeight="1"/>
    <row r="341" ht="24.75" customHeight="1"/>
    <row r="343" ht="54" customHeight="1"/>
    <row r="344" ht="24" customHeight="1"/>
    <row r="345" ht="20.25" customHeight="1"/>
    <row r="347" ht="25.5" customHeight="1"/>
    <row r="348" ht="18.75" customHeight="1"/>
    <row r="352" ht="29.25" customHeight="1"/>
    <row r="353" ht="17.25" customHeight="1"/>
    <row r="355" ht="26.25" customHeight="1"/>
    <row r="356" ht="19.5" customHeight="1"/>
    <row r="358" ht="18.75" customHeight="1"/>
    <row r="359" ht="16.5" customHeight="1"/>
    <row r="360" ht="22.5" customHeight="1"/>
    <row r="364" ht="18" customHeight="1"/>
    <row r="366" ht="18" customHeight="1"/>
    <row r="368" ht="39.75" customHeight="1"/>
    <row r="370" ht="20.25" customHeight="1"/>
    <row r="372" ht="21.75" customHeight="1"/>
    <row r="381" ht="19.5" customHeight="1"/>
    <row r="384" ht="20.25" customHeight="1"/>
    <row r="386" ht="20.25" customHeight="1"/>
    <row r="387" ht="35.25" customHeight="1"/>
    <row r="388" ht="18" customHeight="1"/>
    <row r="396" ht="27" customHeight="1"/>
    <row r="397" ht="24" customHeight="1"/>
    <row r="399" ht="22.5" customHeight="1"/>
    <row r="401" ht="26.25" customHeight="1"/>
    <row r="406" ht="24" customHeight="1"/>
    <row r="410" ht="21" customHeight="1"/>
    <row r="414" ht="26.25" customHeight="1"/>
    <row r="416" ht="27.75" customHeight="1"/>
    <row r="417" ht="21.75" customHeight="1"/>
    <row r="422" ht="21.75" customHeight="1"/>
    <row r="423" ht="22.5" customHeight="1"/>
    <row r="426" ht="23.25" customHeight="1"/>
    <row r="427" ht="16.5" customHeight="1"/>
    <row r="430" ht="18.75" customHeight="1"/>
    <row r="433" ht="20.25" customHeight="1"/>
    <row r="446" ht="21" customHeight="1"/>
    <row r="453" ht="25.5" customHeight="1"/>
    <row r="454" ht="18" customHeight="1"/>
    <row r="455" ht="29.25" customHeight="1"/>
    <row r="456" ht="21" customHeight="1"/>
    <row r="459" ht="24" customHeight="1"/>
    <row r="463" ht="18" customHeight="1"/>
    <row r="464" ht="19.5" customHeight="1"/>
    <row r="471" ht="26.25" customHeight="1"/>
    <row r="475" ht="33" customHeight="1"/>
    <row r="478" ht="21.75" customHeight="1"/>
    <row r="479" ht="30.75" customHeight="1"/>
    <row r="480" ht="20.25" customHeight="1"/>
    <row r="483" ht="33.75" customHeight="1"/>
    <row r="486" ht="21" customHeight="1"/>
    <row r="488" ht="18.75" customHeight="1"/>
    <row r="491" ht="20.25" customHeight="1"/>
    <row r="511" ht="21.75" customHeight="1"/>
    <row r="644" ht="23.25" customHeight="1"/>
    <row r="646" ht="16.5" customHeight="1"/>
  </sheetData>
  <sheetProtection selectLockedCells="1" selectUnlockedCells="1"/>
  <mergeCells count="9">
    <mergeCell ref="A27:B27"/>
    <mergeCell ref="A24:A25"/>
    <mergeCell ref="B24:B25"/>
    <mergeCell ref="A26:B26"/>
    <mergeCell ref="D24:D25"/>
    <mergeCell ref="A21:E21"/>
    <mergeCell ref="A22:E22"/>
    <mergeCell ref="E24:E25"/>
    <mergeCell ref="C24:C25"/>
  </mergeCells>
  <printOptions/>
  <pageMargins left="0.7480314960629921" right="0.7480314960629921" top="0.6692913385826772" bottom="0.5118110236220472" header="0.5118110236220472" footer="0.5118110236220472"/>
  <pageSetup firstPageNumber="56" useFirstPageNumber="1" fitToHeight="1" fitToWidth="1" horizontalDpi="600" verticalDpi="600" orientation="portrait" paperSize="9" scale="65" r:id="rId3"/>
  <headerFooter alignWithMargins="0">
    <oddFooter>&amp;R&amp;P</oddFooter>
  </headerFooter>
  <rowBreaks count="1" manualBreakCount="1">
    <brk id="69" max="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view="pageBreakPreview" zoomScale="115" zoomScaleSheetLayoutView="115" zoomScalePageLayoutView="0" workbookViewId="0" topLeftCell="A1">
      <selection activeCell="H7" sqref="H7"/>
    </sheetView>
  </sheetViews>
  <sheetFormatPr defaultColWidth="8.625" defaultRowHeight="12.75"/>
  <cols>
    <col min="1" max="1" width="42.375" style="32" customWidth="1"/>
    <col min="2" max="2" width="12.625" style="32" customWidth="1"/>
    <col min="3" max="3" width="27.125" style="32" customWidth="1"/>
    <col min="4" max="4" width="15.625" style="234" hidden="1" customWidth="1"/>
    <col min="5" max="5" width="15.625" style="32" hidden="1" customWidth="1"/>
    <col min="6" max="6" width="13.625" style="32" customWidth="1"/>
    <col min="7" max="7" width="8.625" style="32" customWidth="1"/>
    <col min="8" max="8" width="21.50390625" style="32" customWidth="1"/>
    <col min="9" max="9" width="11.375" style="32" customWidth="1"/>
    <col min="10" max="16384" width="8.625" style="32" customWidth="1"/>
  </cols>
  <sheetData>
    <row r="1" spans="6:9" ht="15">
      <c r="F1" s="655" t="s">
        <v>88</v>
      </c>
      <c r="G1" s="655"/>
      <c r="H1" s="655"/>
      <c r="I1" s="235"/>
    </row>
    <row r="2" spans="6:9" ht="15">
      <c r="F2" s="655" t="s">
        <v>772</v>
      </c>
      <c r="G2" s="655"/>
      <c r="H2" s="655"/>
      <c r="I2" s="235"/>
    </row>
    <row r="3" spans="6:9" ht="15">
      <c r="F3" s="656" t="s">
        <v>1738</v>
      </c>
      <c r="G3" s="656"/>
      <c r="H3" s="656"/>
      <c r="I3" s="235"/>
    </row>
    <row r="4" spans="1:9" ht="15">
      <c r="A4" s="653" t="s">
        <v>680</v>
      </c>
      <c r="B4" s="653"/>
      <c r="C4" s="653"/>
      <c r="D4" s="653"/>
      <c r="E4" s="653"/>
      <c r="F4" s="653"/>
      <c r="I4" s="235"/>
    </row>
    <row r="5" spans="1:6" ht="12.75" customHeight="1">
      <c r="A5" s="653" t="s">
        <v>1588</v>
      </c>
      <c r="B5" s="653"/>
      <c r="C5" s="653"/>
      <c r="D5" s="653"/>
      <c r="E5" s="653"/>
      <c r="F5" s="653"/>
    </row>
    <row r="6" spans="1:23" ht="15">
      <c r="A6" s="653" t="s">
        <v>1579</v>
      </c>
      <c r="B6" s="653"/>
      <c r="C6" s="653"/>
      <c r="D6" s="653"/>
      <c r="E6" s="653"/>
      <c r="F6" s="653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</row>
    <row r="7" spans="1:23" ht="15">
      <c r="A7" s="653" t="s">
        <v>1580</v>
      </c>
      <c r="B7" s="653"/>
      <c r="C7" s="653"/>
      <c r="D7" s="653"/>
      <c r="E7" s="653"/>
      <c r="F7" s="653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</row>
    <row r="8" spans="3:6" ht="30.75" customHeight="1">
      <c r="C8" s="237"/>
      <c r="D8" s="32"/>
      <c r="F8" s="238" t="s">
        <v>773</v>
      </c>
    </row>
    <row r="9" spans="1:6" ht="17.25" customHeight="1">
      <c r="A9" s="657" t="s">
        <v>1582</v>
      </c>
      <c r="B9" s="654" t="s">
        <v>1581</v>
      </c>
      <c r="C9" s="654"/>
      <c r="D9" s="239"/>
      <c r="E9" s="239"/>
      <c r="F9" s="659" t="s">
        <v>1573</v>
      </c>
    </row>
    <row r="10" spans="1:6" ht="57" customHeight="1">
      <c r="A10" s="658"/>
      <c r="B10" s="240" t="s">
        <v>1583</v>
      </c>
      <c r="C10" s="240" t="s">
        <v>1584</v>
      </c>
      <c r="D10" s="241" t="s">
        <v>1571</v>
      </c>
      <c r="E10" s="241" t="s">
        <v>1572</v>
      </c>
      <c r="F10" s="660"/>
    </row>
    <row r="11" spans="1:6" s="244" customFormat="1" ht="26.25">
      <c r="A11" s="438" t="s">
        <v>19</v>
      </c>
      <c r="B11" s="242" t="s">
        <v>1014</v>
      </c>
      <c r="C11" s="243" t="s">
        <v>1585</v>
      </c>
      <c r="D11" s="233" t="e">
        <f>D13-D12</f>
        <v>#REF!</v>
      </c>
      <c r="E11" s="233" t="e">
        <f>E13-E12</f>
        <v>#REF!</v>
      </c>
      <c r="F11" s="429">
        <f>F13-F12</f>
        <v>271484.2000000002</v>
      </c>
    </row>
    <row r="12" spans="1:6" s="244" customFormat="1" ht="16.5" customHeight="1">
      <c r="A12" s="439" t="s">
        <v>482</v>
      </c>
      <c r="B12" s="245" t="s">
        <v>1014</v>
      </c>
      <c r="C12" s="246" t="s">
        <v>1586</v>
      </c>
      <c r="D12" s="233" t="e">
        <f>#REF!</f>
        <v>#REF!</v>
      </c>
      <c r="E12" s="233" t="e">
        <f>#REF!</f>
        <v>#REF!</v>
      </c>
      <c r="F12" s="429">
        <v>5885537.1</v>
      </c>
    </row>
    <row r="13" spans="1:6" s="244" customFormat="1" ht="18.75" customHeight="1">
      <c r="A13" s="440" t="s">
        <v>1699</v>
      </c>
      <c r="B13" s="247" t="s">
        <v>1014</v>
      </c>
      <c r="C13" s="246" t="s">
        <v>1587</v>
      </c>
      <c r="D13" s="233" t="e">
        <f>#REF!</f>
        <v>#REF!</v>
      </c>
      <c r="E13" s="233" t="e">
        <f>#REF!</f>
        <v>#REF!</v>
      </c>
      <c r="F13" s="429">
        <v>6157021.3</v>
      </c>
    </row>
    <row r="14" spans="1:6" ht="28.5" customHeight="1">
      <c r="A14" s="441" t="s">
        <v>425</v>
      </c>
      <c r="B14" s="248">
        <v>120</v>
      </c>
      <c r="C14" s="72" t="s">
        <v>578</v>
      </c>
      <c r="D14" s="249"/>
      <c r="E14" s="249"/>
      <c r="F14" s="442">
        <f>F15</f>
        <v>0</v>
      </c>
    </row>
    <row r="15" spans="1:6" ht="52.5">
      <c r="A15" s="443" t="s">
        <v>1691</v>
      </c>
      <c r="B15" s="248">
        <v>120</v>
      </c>
      <c r="C15" s="71" t="s">
        <v>1639</v>
      </c>
      <c r="D15" s="249"/>
      <c r="E15" s="249"/>
      <c r="F15" s="442">
        <f>F16</f>
        <v>0</v>
      </c>
    </row>
    <row r="16" spans="1:6" ht="39">
      <c r="A16" s="444" t="s">
        <v>1692</v>
      </c>
      <c r="B16" s="248">
        <v>120</v>
      </c>
      <c r="C16" s="71" t="s">
        <v>456</v>
      </c>
      <c r="D16" s="250"/>
      <c r="E16" s="250"/>
      <c r="F16" s="445">
        <v>0</v>
      </c>
    </row>
    <row r="17" spans="1:6" ht="12" customHeight="1">
      <c r="A17" s="446"/>
      <c r="B17" s="447"/>
      <c r="C17" s="448"/>
      <c r="D17" s="449"/>
      <c r="E17" s="449"/>
      <c r="F17" s="450"/>
    </row>
    <row r="18" spans="1:6" ht="12" customHeight="1">
      <c r="A18" s="435"/>
      <c r="B18" s="435"/>
      <c r="C18" s="436"/>
      <c r="D18" s="437"/>
      <c r="E18" s="437"/>
      <c r="F18" s="437"/>
    </row>
    <row r="19" spans="1:3" ht="12.75">
      <c r="A19" s="237"/>
      <c r="B19" s="237"/>
      <c r="C19" s="251"/>
    </row>
    <row r="20" spans="1:6" ht="12.75">
      <c r="A20" s="252"/>
      <c r="B20" s="252"/>
      <c r="C20" s="253"/>
      <c r="D20" s="254"/>
      <c r="E20" s="244"/>
      <c r="F20" s="244"/>
    </row>
    <row r="21" spans="1:6" ht="12.75">
      <c r="A21" s="252"/>
      <c r="B21" s="252"/>
      <c r="C21" s="255"/>
      <c r="D21" s="254"/>
      <c r="E21" s="244"/>
      <c r="F21" s="244"/>
    </row>
    <row r="22" spans="1:6" ht="12.75">
      <c r="A22" s="244"/>
      <c r="B22" s="244"/>
      <c r="C22" s="256"/>
      <c r="D22" s="254"/>
      <c r="E22" s="244"/>
      <c r="F22" s="244"/>
    </row>
    <row r="23" spans="1:6" ht="12.75">
      <c r="A23" s="244"/>
      <c r="B23" s="244"/>
      <c r="C23" s="256"/>
      <c r="D23" s="254"/>
      <c r="E23" s="244"/>
      <c r="F23" s="244"/>
    </row>
    <row r="24" spans="1:6" ht="12.75">
      <c r="A24" s="244"/>
      <c r="B24" s="244"/>
      <c r="C24" s="256"/>
      <c r="D24" s="254"/>
      <c r="E24" s="244"/>
      <c r="F24" s="244"/>
    </row>
    <row r="25" spans="1:6" ht="12.75">
      <c r="A25" s="244"/>
      <c r="B25" s="244"/>
      <c r="C25" s="256"/>
      <c r="D25" s="254"/>
      <c r="E25" s="244"/>
      <c r="F25" s="244"/>
    </row>
    <row r="26" spans="1:6" ht="12.75">
      <c r="A26" s="244"/>
      <c r="B26" s="244"/>
      <c r="C26" s="256"/>
      <c r="D26" s="254"/>
      <c r="E26" s="244"/>
      <c r="F26" s="244"/>
    </row>
    <row r="27" spans="1:6" ht="12.75">
      <c r="A27" s="244"/>
      <c r="B27" s="244"/>
      <c r="C27" s="256"/>
      <c r="D27" s="254"/>
      <c r="E27" s="244"/>
      <c r="F27" s="244"/>
    </row>
    <row r="28" spans="1:6" ht="12.75">
      <c r="A28" s="244"/>
      <c r="B28" s="244"/>
      <c r="C28" s="256"/>
      <c r="D28" s="254"/>
      <c r="E28" s="244"/>
      <c r="F28" s="244"/>
    </row>
    <row r="29" spans="1:6" ht="12.75">
      <c r="A29" s="244"/>
      <c r="B29" s="244"/>
      <c r="C29" s="256"/>
      <c r="D29" s="254"/>
      <c r="E29" s="244"/>
      <c r="F29" s="244"/>
    </row>
    <row r="30" spans="1:6" ht="12.75">
      <c r="A30" s="244"/>
      <c r="B30" s="244"/>
      <c r="C30" s="256"/>
      <c r="D30" s="254"/>
      <c r="E30" s="244"/>
      <c r="F30" s="244"/>
    </row>
    <row r="31" spans="1:6" ht="12.75">
      <c r="A31" s="244"/>
      <c r="B31" s="244"/>
      <c r="C31" s="256"/>
      <c r="D31" s="254"/>
      <c r="E31" s="244"/>
      <c r="F31" s="244"/>
    </row>
    <row r="32" spans="1:6" ht="12.75">
      <c r="A32" s="244"/>
      <c r="B32" s="244"/>
      <c r="C32" s="256"/>
      <c r="D32" s="254"/>
      <c r="E32" s="244"/>
      <c r="F32" s="244"/>
    </row>
    <row r="33" spans="1:6" ht="12.75">
      <c r="A33" s="244"/>
      <c r="B33" s="244"/>
      <c r="C33" s="256"/>
      <c r="D33" s="254"/>
      <c r="E33" s="244"/>
      <c r="F33" s="244"/>
    </row>
    <row r="34" spans="3:4" s="244" customFormat="1" ht="12.75">
      <c r="C34" s="256"/>
      <c r="D34" s="254"/>
    </row>
    <row r="35" spans="3:4" ht="12.75">
      <c r="C35" s="257"/>
      <c r="D35" s="258"/>
    </row>
    <row r="36" spans="3:4" ht="12.75">
      <c r="C36" s="257"/>
      <c r="D36" s="258"/>
    </row>
    <row r="37" spans="3:4" ht="12.75">
      <c r="C37" s="257"/>
      <c r="D37" s="258"/>
    </row>
    <row r="38" spans="3:4" ht="12.75">
      <c r="C38" s="257"/>
      <c r="D38" s="258"/>
    </row>
    <row r="39" spans="3:4" ht="12.75">
      <c r="C39" s="257"/>
      <c r="D39" s="258"/>
    </row>
    <row r="40" spans="3:4" ht="12.75">
      <c r="C40" s="257"/>
      <c r="D40" s="258"/>
    </row>
    <row r="41" spans="3:4" ht="12.75">
      <c r="C41" s="257"/>
      <c r="D41" s="258"/>
    </row>
    <row r="42" spans="3:4" ht="12.75">
      <c r="C42" s="257"/>
      <c r="D42" s="258"/>
    </row>
  </sheetData>
  <sheetProtection/>
  <mergeCells count="10">
    <mergeCell ref="A7:F7"/>
    <mergeCell ref="B9:C9"/>
    <mergeCell ref="F1:H1"/>
    <mergeCell ref="F2:H2"/>
    <mergeCell ref="F3:H3"/>
    <mergeCell ref="A4:F4"/>
    <mergeCell ref="A5:F5"/>
    <mergeCell ref="A6:F6"/>
    <mergeCell ref="A9:A10"/>
    <mergeCell ref="F9:F10"/>
  </mergeCells>
  <printOptions/>
  <pageMargins left="0.75" right="0.75" top="1" bottom="1" header="0.5" footer="0.5"/>
  <pageSetup firstPageNumber="57" useFirstPageNumber="1" fitToHeight="1" fitToWidth="1" horizontalDpi="600" verticalDpi="600" orientation="portrait" paperSize="9" scale="6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BreakPreview" zoomScaleSheetLayoutView="100" workbookViewId="0" topLeftCell="A4">
      <selection activeCell="E7" sqref="E7"/>
    </sheetView>
  </sheetViews>
  <sheetFormatPr defaultColWidth="9.00390625" defaultRowHeight="12.75"/>
  <cols>
    <col min="1" max="1" width="3.50390625" style="15" customWidth="1"/>
    <col min="2" max="2" width="59.625" style="15" customWidth="1"/>
    <col min="3" max="3" width="2.50390625" style="15" customWidth="1"/>
    <col min="4" max="4" width="2.375" style="15" customWidth="1"/>
    <col min="5" max="5" width="26.625" style="15" customWidth="1"/>
  </cols>
  <sheetData>
    <row r="1" ht="12.75" hidden="1">
      <c r="D1" s="8" t="s">
        <v>612</v>
      </c>
    </row>
    <row r="2" ht="12.75" hidden="1">
      <c r="D2" s="8" t="s">
        <v>772</v>
      </c>
    </row>
    <row r="3" ht="12.75" hidden="1">
      <c r="D3" s="57" t="s">
        <v>1252</v>
      </c>
    </row>
    <row r="4" spans="3:4" ht="12.75">
      <c r="C4" s="8" t="s">
        <v>1207</v>
      </c>
      <c r="D4" s="57"/>
    </row>
    <row r="5" spans="3:4" ht="12.75">
      <c r="C5" s="8" t="s">
        <v>772</v>
      </c>
      <c r="D5" s="57"/>
    </row>
    <row r="6" spans="3:4" ht="12.75">
      <c r="C6" s="57" t="s">
        <v>1738</v>
      </c>
      <c r="D6" s="57"/>
    </row>
    <row r="7" ht="12.75">
      <c r="D7" s="57"/>
    </row>
    <row r="8" spans="1:5" ht="15">
      <c r="A8" s="23"/>
      <c r="B8" s="23"/>
      <c r="C8" s="57"/>
      <c r="D8" s="94"/>
      <c r="E8" s="94"/>
    </row>
    <row r="9" spans="1:5" ht="15.75">
      <c r="A9" s="669" t="s">
        <v>380</v>
      </c>
      <c r="B9" s="669"/>
      <c r="C9" s="669"/>
      <c r="D9" s="669"/>
      <c r="E9" s="669"/>
    </row>
    <row r="10" spans="1:5" ht="15.75">
      <c r="A10" s="663" t="s">
        <v>381</v>
      </c>
      <c r="B10" s="663"/>
      <c r="C10" s="663"/>
      <c r="D10" s="663"/>
      <c r="E10" s="663"/>
    </row>
    <row r="11" spans="1:5" ht="12.75">
      <c r="A11" s="664" t="s">
        <v>382</v>
      </c>
      <c r="B11" s="664"/>
      <c r="C11" s="664"/>
      <c r="D11" s="664"/>
      <c r="E11" s="664"/>
    </row>
    <row r="12" spans="1:5" ht="15">
      <c r="A12" s="23"/>
      <c r="B12" s="23"/>
      <c r="C12" s="23"/>
      <c r="D12" s="23"/>
      <c r="E12" s="23"/>
    </row>
    <row r="13" spans="1:5" ht="12.75">
      <c r="A13" s="661" t="s">
        <v>91</v>
      </c>
      <c r="B13" s="661"/>
      <c r="C13" s="661"/>
      <c r="D13" s="661"/>
      <c r="E13" s="661"/>
    </row>
    <row r="14" spans="1:5" ht="24">
      <c r="A14" s="24" t="s">
        <v>1700</v>
      </c>
      <c r="B14" s="25" t="s">
        <v>1257</v>
      </c>
      <c r="C14" s="670" t="s">
        <v>999</v>
      </c>
      <c r="D14" s="670"/>
      <c r="E14" s="670"/>
    </row>
    <row r="15" spans="1:5" ht="12.75">
      <c r="A15" s="39" t="s">
        <v>1258</v>
      </c>
      <c r="B15" s="38" t="s">
        <v>92</v>
      </c>
      <c r="C15" s="672">
        <v>0</v>
      </c>
      <c r="D15" s="672"/>
      <c r="E15" s="672"/>
    </row>
    <row r="16" spans="1:5" ht="25.5">
      <c r="A16" s="26" t="s">
        <v>1259</v>
      </c>
      <c r="B16" s="38" t="s">
        <v>676</v>
      </c>
      <c r="C16" s="666">
        <v>0</v>
      </c>
      <c r="D16" s="666"/>
      <c r="E16" s="666"/>
    </row>
    <row r="17" spans="1:5" ht="30.75" customHeight="1">
      <c r="A17" s="26" t="s">
        <v>1697</v>
      </c>
      <c r="B17" s="38" t="s">
        <v>1620</v>
      </c>
      <c r="C17" s="666">
        <v>0</v>
      </c>
      <c r="D17" s="666"/>
      <c r="E17" s="666"/>
    </row>
    <row r="18" spans="1:5" ht="30.75" customHeight="1">
      <c r="A18" s="28"/>
      <c r="B18" s="101" t="s">
        <v>1264</v>
      </c>
      <c r="C18" s="665">
        <f>C16+C17</f>
        <v>0</v>
      </c>
      <c r="D18" s="665"/>
      <c r="E18" s="665"/>
    </row>
    <row r="19" spans="1:5" ht="12.75">
      <c r="A19" s="667" t="s">
        <v>1696</v>
      </c>
      <c r="B19" s="667"/>
      <c r="C19" s="667"/>
      <c r="D19" s="667"/>
      <c r="E19" s="667"/>
    </row>
    <row r="20" spans="1:5" ht="24">
      <c r="A20" s="24" t="s">
        <v>1700</v>
      </c>
      <c r="B20" s="25" t="s">
        <v>1257</v>
      </c>
      <c r="C20" s="671" t="s">
        <v>1677</v>
      </c>
      <c r="D20" s="671"/>
      <c r="E20" s="671"/>
    </row>
    <row r="21" spans="1:5" ht="12.75">
      <c r="A21" s="27" t="s">
        <v>1258</v>
      </c>
      <c r="B21" s="27" t="s">
        <v>92</v>
      </c>
      <c r="C21" s="668">
        <v>0</v>
      </c>
      <c r="D21" s="668"/>
      <c r="E21" s="668"/>
    </row>
    <row r="22" spans="1:5" ht="26.25">
      <c r="A22" s="27" t="s">
        <v>1259</v>
      </c>
      <c r="B22" s="27" t="s">
        <v>676</v>
      </c>
      <c r="C22" s="668">
        <v>0</v>
      </c>
      <c r="D22" s="668"/>
      <c r="E22" s="668"/>
    </row>
    <row r="23" spans="1:5" ht="33" customHeight="1">
      <c r="A23" s="27" t="s">
        <v>1697</v>
      </c>
      <c r="B23" s="27" t="s">
        <v>1620</v>
      </c>
      <c r="C23" s="668">
        <v>0</v>
      </c>
      <c r="D23" s="668"/>
      <c r="E23" s="668"/>
    </row>
    <row r="24" spans="1:5" ht="15" customHeight="1">
      <c r="A24" s="28"/>
      <c r="B24" s="101" t="s">
        <v>1264</v>
      </c>
      <c r="C24" s="665">
        <f>SUM(C22:E23)</f>
        <v>0</v>
      </c>
      <c r="D24" s="665"/>
      <c r="E24" s="665"/>
    </row>
    <row r="25" spans="1:5" ht="12.75">
      <c r="A25" s="2"/>
      <c r="B25" s="2"/>
      <c r="C25" s="29"/>
      <c r="D25" s="4"/>
      <c r="E25" s="2"/>
    </row>
    <row r="26" spans="1:5" ht="12.75">
      <c r="A26" s="661"/>
      <c r="B26" s="661"/>
      <c r="C26" s="661"/>
      <c r="D26" s="661"/>
      <c r="E26" s="661"/>
    </row>
    <row r="27" ht="12.75">
      <c r="A27" s="30"/>
    </row>
    <row r="28" ht="12.75">
      <c r="A28" s="30"/>
    </row>
    <row r="29" ht="12.75">
      <c r="A29" s="22"/>
    </row>
    <row r="30" spans="1:5" ht="12.75">
      <c r="A30" s="31"/>
      <c r="B30" s="662"/>
      <c r="C30" s="662"/>
      <c r="D30" s="662"/>
      <c r="E30" s="66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ht="12.75">
      <c r="B34" s="34"/>
    </row>
    <row r="38" ht="29.25" customHeight="1"/>
    <row r="39" ht="103.5" customHeight="1"/>
    <row r="46" ht="66.75" customHeight="1"/>
    <row r="57" ht="39.75" customHeight="1"/>
    <row r="59" ht="18" customHeight="1"/>
    <row r="60" ht="18.75" customHeight="1"/>
    <row r="61" ht="36" customHeight="1"/>
    <row r="91" ht="29.25" customHeight="1"/>
    <row r="119" ht="19.5" customHeight="1"/>
    <row r="121" ht="18.75" customHeight="1"/>
    <row r="168" ht="21" customHeight="1"/>
    <row r="174" ht="18.75" customHeight="1"/>
    <row r="175" ht="55.5" customHeight="1"/>
    <row r="177" ht="24" customHeight="1"/>
    <row r="178" ht="18.75" customHeight="1"/>
    <row r="180" ht="14.25" customHeight="1"/>
    <row r="181" ht="16.5" customHeight="1"/>
    <row r="185" ht="18" customHeight="1"/>
    <row r="186" ht="23.25" customHeight="1"/>
    <row r="219" ht="40.5" customHeight="1"/>
    <row r="221" ht="29.25" customHeight="1"/>
    <row r="222" ht="18.75" customHeight="1"/>
    <row r="223" ht="24" customHeight="1"/>
    <row r="224" ht="17.25" customHeight="1"/>
    <row r="225" ht="21" customHeight="1"/>
    <row r="226" ht="17.25" customHeight="1"/>
    <row r="227" ht="38.25" customHeight="1"/>
    <row r="228" ht="25.5" customHeight="1"/>
    <row r="230" ht="25.5" customHeight="1"/>
    <row r="231" ht="19.5" customHeight="1"/>
    <row r="232" ht="24" customHeight="1"/>
    <row r="233" ht="57" customHeight="1"/>
    <row r="235" ht="26.25" customHeight="1"/>
    <row r="236" ht="21.75" customHeight="1"/>
    <row r="237" ht="24" customHeight="1"/>
    <row r="238" ht="66" customHeight="1"/>
    <row r="240" ht="26.25" customHeight="1"/>
    <row r="241" ht="24" customHeight="1"/>
    <row r="242" ht="18.75" customHeight="1"/>
    <row r="243" ht="22.5" customHeight="1"/>
    <row r="244" ht="15" customHeight="1"/>
    <row r="245" ht="31.5" customHeight="1"/>
    <row r="247" ht="18.75" customHeight="1"/>
    <row r="251" ht="22.5" customHeight="1"/>
    <row r="252" ht="18" customHeight="1"/>
    <row r="253" ht="21.75" customHeight="1"/>
    <row r="268" ht="28.5" customHeight="1"/>
    <row r="272" ht="18.75" customHeight="1"/>
    <row r="273" ht="18.75" customHeight="1"/>
    <row r="274" ht="28.5" customHeight="1"/>
    <row r="275" ht="20.25" customHeight="1"/>
    <row r="276" ht="20.25" customHeight="1"/>
    <row r="279" ht="31.5" customHeight="1"/>
    <row r="319" ht="19.5" customHeight="1"/>
    <row r="322" ht="19.5" customHeight="1"/>
    <row r="323" ht="21.75" customHeight="1"/>
    <row r="324" ht="24" customHeight="1"/>
    <row r="327" ht="27.75" customHeight="1"/>
    <row r="328" ht="27.75" customHeight="1"/>
    <row r="329" ht="19.5" customHeight="1"/>
    <row r="330" ht="29.25" customHeight="1"/>
    <row r="332" ht="18.75" customHeight="1"/>
    <row r="333" ht="21.75" customHeight="1"/>
    <row r="334" ht="18.75" customHeight="1"/>
    <row r="336" ht="23.25" customHeight="1"/>
    <row r="338" ht="35.25" customHeight="1"/>
    <row r="339" ht="23.25" customHeight="1"/>
    <row r="340" ht="24" customHeight="1"/>
    <row r="341" ht="24" customHeight="1"/>
    <row r="342" ht="24.75" customHeight="1"/>
    <row r="344" ht="54" customHeight="1"/>
    <row r="345" ht="24" customHeight="1"/>
    <row r="346" ht="20.25" customHeight="1"/>
    <row r="348" ht="25.5" customHeight="1"/>
    <row r="349" ht="18.75" customHeight="1"/>
    <row r="353" ht="29.25" customHeight="1"/>
    <row r="354" ht="17.25" customHeight="1"/>
    <row r="356" ht="26.25" customHeight="1"/>
    <row r="357" ht="19.5" customHeight="1"/>
    <row r="359" ht="18.75" customHeight="1"/>
    <row r="360" ht="16.5" customHeight="1"/>
    <row r="361" ht="22.5" customHeight="1"/>
    <row r="365" ht="18" customHeight="1"/>
    <row r="367" ht="18" customHeight="1"/>
    <row r="369" ht="39.75" customHeight="1"/>
    <row r="371" ht="20.25" customHeight="1"/>
    <row r="373" ht="21.75" customHeight="1"/>
    <row r="382" ht="19.5" customHeight="1"/>
    <row r="385" ht="20.25" customHeight="1"/>
    <row r="387" ht="20.25" customHeight="1"/>
    <row r="388" ht="35.25" customHeight="1"/>
    <row r="389" ht="18" customHeight="1"/>
    <row r="397" ht="27" customHeight="1"/>
    <row r="398" ht="24" customHeight="1"/>
    <row r="400" ht="22.5" customHeight="1"/>
    <row r="402" ht="26.25" customHeight="1"/>
    <row r="407" ht="24" customHeight="1"/>
    <row r="411" ht="21" customHeight="1"/>
    <row r="415" ht="26.25" customHeight="1"/>
    <row r="417" ht="27.75" customHeight="1"/>
    <row r="418" ht="21.75" customHeight="1"/>
    <row r="423" ht="21.75" customHeight="1"/>
    <row r="424" ht="22.5" customHeight="1"/>
    <row r="427" ht="23.25" customHeight="1"/>
    <row r="428" ht="16.5" customHeight="1"/>
    <row r="431" ht="18.75" customHeight="1"/>
    <row r="434" ht="20.25" customHeight="1"/>
    <row r="447" ht="21" customHeight="1"/>
    <row r="454" ht="25.5" customHeight="1"/>
    <row r="455" ht="18" customHeight="1"/>
    <row r="456" ht="29.25" customHeight="1"/>
    <row r="457" ht="21" customHeight="1"/>
    <row r="460" ht="24" customHeight="1"/>
    <row r="464" ht="18" customHeight="1"/>
    <row r="465" ht="19.5" customHeight="1"/>
    <row r="472" ht="26.25" customHeight="1"/>
    <row r="476" ht="33" customHeight="1"/>
    <row r="479" ht="21.75" customHeight="1"/>
    <row r="480" ht="30.75" customHeight="1"/>
    <row r="481" ht="20.25" customHeight="1"/>
    <row r="484" ht="33.75" customHeight="1"/>
    <row r="487" ht="21" customHeight="1"/>
    <row r="489" ht="18.75" customHeight="1"/>
    <row r="492" ht="20.25" customHeight="1"/>
    <row r="512" ht="21.75" customHeight="1"/>
    <row r="645" ht="23.25" customHeight="1"/>
    <row r="647" ht="16.5" customHeight="1"/>
  </sheetData>
  <sheetProtection/>
  <mergeCells count="17">
    <mergeCell ref="A9:E9"/>
    <mergeCell ref="C22:E22"/>
    <mergeCell ref="C23:E23"/>
    <mergeCell ref="C24:E24"/>
    <mergeCell ref="C14:E14"/>
    <mergeCell ref="C20:E20"/>
    <mergeCell ref="C15:E15"/>
    <mergeCell ref="A26:E26"/>
    <mergeCell ref="B30:E30"/>
    <mergeCell ref="A10:E10"/>
    <mergeCell ref="A11:E11"/>
    <mergeCell ref="A13:E13"/>
    <mergeCell ref="C18:E18"/>
    <mergeCell ref="C16:E16"/>
    <mergeCell ref="C17:E17"/>
    <mergeCell ref="A19:E19"/>
    <mergeCell ref="C21:E21"/>
  </mergeCells>
  <printOptions/>
  <pageMargins left="0.7480314960629921" right="0.7480314960629921" top="0.6692913385826772" bottom="0.5118110236220472" header="0.5118110236220472" footer="0.5118110236220472"/>
  <pageSetup firstPageNumber="58" useFirstPageNumber="1" fitToHeight="1" fitToWidth="1" horizontalDpi="600" verticalDpi="600" orientation="portrait" paperSize="9" scale="93" r:id="rId3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SheetLayoutView="100" workbookViewId="0" topLeftCell="A1">
      <selection activeCell="A5" sqref="A5:R5"/>
    </sheetView>
  </sheetViews>
  <sheetFormatPr defaultColWidth="8.625" defaultRowHeight="12.75"/>
  <cols>
    <col min="1" max="1" width="2.625" style="209" customWidth="1"/>
    <col min="2" max="2" width="16.375" style="209" customWidth="1"/>
    <col min="3" max="3" width="12.50390625" style="209" customWidth="1"/>
    <col min="4" max="4" width="9.50390625" style="209" customWidth="1"/>
    <col min="5" max="5" width="4.50390625" style="209" customWidth="1"/>
    <col min="6" max="6" width="10.00390625" style="209" customWidth="1"/>
    <col min="7" max="7" width="8.50390625" style="209" customWidth="1"/>
    <col min="8" max="8" width="9.375" style="209" customWidth="1"/>
    <col min="9" max="9" width="6.00390625" style="209" customWidth="1"/>
    <col min="10" max="10" width="8.50390625" style="209" customWidth="1"/>
    <col min="11" max="11" width="7.50390625" style="209" customWidth="1"/>
    <col min="12" max="12" width="6.50390625" style="209" customWidth="1"/>
    <col min="13" max="14" width="8.50390625" style="209" customWidth="1"/>
    <col min="15" max="15" width="7.625" style="209" customWidth="1"/>
    <col min="16" max="16" width="6.50390625" style="209" customWidth="1"/>
    <col min="17" max="17" width="7.00390625" style="209" customWidth="1"/>
    <col min="18" max="18" width="7.50390625" style="209" customWidth="1"/>
    <col min="19" max="19" width="8.625" style="209" customWidth="1"/>
    <col min="20" max="20" width="8.50390625" style="209" customWidth="1"/>
    <col min="21" max="16384" width="8.625" style="209" customWidth="1"/>
  </cols>
  <sheetData>
    <row r="1" spans="13:14" s="205" customFormat="1" ht="12.75">
      <c r="M1" s="206" t="s">
        <v>574</v>
      </c>
      <c r="N1" s="206"/>
    </row>
    <row r="2" spans="13:14" s="205" customFormat="1" ht="12.75">
      <c r="M2" s="207" t="s">
        <v>772</v>
      </c>
      <c r="N2" s="206"/>
    </row>
    <row r="3" spans="13:14" s="205" customFormat="1" ht="12.75">
      <c r="M3" s="57" t="s">
        <v>1738</v>
      </c>
      <c r="N3" s="206"/>
    </row>
    <row r="4" s="205" customFormat="1" ht="12.75"/>
    <row r="5" spans="1:18" s="205" customFormat="1" ht="12.75">
      <c r="A5" s="701" t="s">
        <v>575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</row>
    <row r="6" spans="1:18" s="205" customFormat="1" ht="12.75">
      <c r="A6" s="701" t="s">
        <v>383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="205" customFormat="1" ht="12.75"/>
    <row r="8" s="205" customFormat="1" ht="13.5" thickBot="1">
      <c r="A8" s="208" t="s">
        <v>1552</v>
      </c>
    </row>
    <row r="9" spans="1:18" ht="15" customHeight="1">
      <c r="A9" s="683" t="s">
        <v>1700</v>
      </c>
      <c r="B9" s="686" t="s">
        <v>1553</v>
      </c>
      <c r="C9" s="688" t="s">
        <v>1554</v>
      </c>
      <c r="D9" s="688" t="s">
        <v>1555</v>
      </c>
      <c r="E9" s="691" t="s">
        <v>1556</v>
      </c>
      <c r="F9" s="688" t="s">
        <v>1557</v>
      </c>
      <c r="G9" s="694" t="s">
        <v>1558</v>
      </c>
      <c r="H9" s="695"/>
      <c r="I9" s="695"/>
      <c r="J9" s="695"/>
      <c r="K9" s="695"/>
      <c r="L9" s="695"/>
      <c r="M9" s="695"/>
      <c r="N9" s="695"/>
      <c r="O9" s="696"/>
      <c r="P9" s="697" t="s">
        <v>171</v>
      </c>
      <c r="Q9" s="698"/>
      <c r="R9" s="699"/>
    </row>
    <row r="10" spans="1:18" ht="26.25" customHeight="1">
      <c r="A10" s="684"/>
      <c r="B10" s="676"/>
      <c r="C10" s="689"/>
      <c r="D10" s="689"/>
      <c r="E10" s="692"/>
      <c r="F10" s="689"/>
      <c r="G10" s="675" t="s">
        <v>1559</v>
      </c>
      <c r="H10" s="676" t="s">
        <v>117</v>
      </c>
      <c r="I10" s="676"/>
      <c r="J10" s="676" t="s">
        <v>169</v>
      </c>
      <c r="K10" s="676"/>
      <c r="L10" s="676"/>
      <c r="M10" s="680" t="s">
        <v>170</v>
      </c>
      <c r="N10" s="681"/>
      <c r="O10" s="682"/>
      <c r="P10" s="677"/>
      <c r="Q10" s="700"/>
      <c r="R10" s="678"/>
    </row>
    <row r="11" spans="1:18" ht="12.75">
      <c r="A11" s="684"/>
      <c r="B11" s="676"/>
      <c r="C11" s="689"/>
      <c r="D11" s="689"/>
      <c r="E11" s="692"/>
      <c r="F11" s="689"/>
      <c r="G11" s="673"/>
      <c r="H11" s="675" t="s">
        <v>1560</v>
      </c>
      <c r="I11" s="675" t="s">
        <v>1561</v>
      </c>
      <c r="J11" s="675" t="s">
        <v>1559</v>
      </c>
      <c r="K11" s="676" t="s">
        <v>1562</v>
      </c>
      <c r="L11" s="676"/>
      <c r="M11" s="675" t="s">
        <v>1559</v>
      </c>
      <c r="N11" s="676" t="s">
        <v>1562</v>
      </c>
      <c r="O11" s="676"/>
      <c r="P11" s="673" t="s">
        <v>1559</v>
      </c>
      <c r="Q11" s="677" t="s">
        <v>1562</v>
      </c>
      <c r="R11" s="678"/>
    </row>
    <row r="12" spans="1:18" ht="129" thickBot="1">
      <c r="A12" s="685"/>
      <c r="B12" s="687"/>
      <c r="C12" s="690"/>
      <c r="D12" s="690"/>
      <c r="E12" s="693"/>
      <c r="F12" s="690"/>
      <c r="G12" s="674"/>
      <c r="H12" s="674"/>
      <c r="I12" s="674"/>
      <c r="J12" s="674"/>
      <c r="K12" s="210" t="s">
        <v>1563</v>
      </c>
      <c r="L12" s="210" t="s">
        <v>1561</v>
      </c>
      <c r="M12" s="674"/>
      <c r="N12" s="210" t="s">
        <v>1564</v>
      </c>
      <c r="O12" s="210" t="s">
        <v>1565</v>
      </c>
      <c r="P12" s="674"/>
      <c r="Q12" s="210" t="s">
        <v>1566</v>
      </c>
      <c r="R12" s="211" t="s">
        <v>1565</v>
      </c>
    </row>
    <row r="13" spans="1:18" ht="12.75">
      <c r="A13" s="212" t="s">
        <v>1567</v>
      </c>
      <c r="B13" s="212" t="s">
        <v>1567</v>
      </c>
      <c r="C13" s="212" t="s">
        <v>1567</v>
      </c>
      <c r="D13" s="212" t="s">
        <v>1567</v>
      </c>
      <c r="E13" s="212" t="s">
        <v>1567</v>
      </c>
      <c r="F13" s="212" t="s">
        <v>1567</v>
      </c>
      <c r="G13" s="212" t="s">
        <v>1567</v>
      </c>
      <c r="H13" s="212" t="s">
        <v>1567</v>
      </c>
      <c r="I13" s="212" t="s">
        <v>1567</v>
      </c>
      <c r="J13" s="212" t="s">
        <v>1567</v>
      </c>
      <c r="K13" s="212" t="s">
        <v>1567</v>
      </c>
      <c r="L13" s="212" t="s">
        <v>1567</v>
      </c>
      <c r="M13" s="212" t="s">
        <v>1567</v>
      </c>
      <c r="N13" s="212" t="s">
        <v>1567</v>
      </c>
      <c r="O13" s="212" t="s">
        <v>1567</v>
      </c>
      <c r="P13" s="212" t="s">
        <v>1567</v>
      </c>
      <c r="Q13" s="212" t="s">
        <v>1567</v>
      </c>
      <c r="R13" s="212" t="s">
        <v>1567</v>
      </c>
    </row>
    <row r="14" spans="1:18" ht="12.75">
      <c r="A14" s="213"/>
      <c r="B14" s="214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</row>
    <row r="15" ht="13.5" thickBot="1">
      <c r="A15" s="208" t="s">
        <v>1568</v>
      </c>
    </row>
    <row r="16" spans="1:18" ht="12.75">
      <c r="A16" s="683" t="s">
        <v>1700</v>
      </c>
      <c r="B16" s="686" t="s">
        <v>1553</v>
      </c>
      <c r="C16" s="688" t="s">
        <v>1554</v>
      </c>
      <c r="D16" s="688" t="s">
        <v>1555</v>
      </c>
      <c r="E16" s="691" t="s">
        <v>1556</v>
      </c>
      <c r="F16" s="688" t="s">
        <v>1557</v>
      </c>
      <c r="G16" s="694" t="s">
        <v>1558</v>
      </c>
      <c r="H16" s="695"/>
      <c r="I16" s="695"/>
      <c r="J16" s="695"/>
      <c r="K16" s="695"/>
      <c r="L16" s="695"/>
      <c r="M16" s="695"/>
      <c r="N16" s="695"/>
      <c r="O16" s="696"/>
      <c r="P16" s="697" t="s">
        <v>171</v>
      </c>
      <c r="Q16" s="698"/>
      <c r="R16" s="699"/>
    </row>
    <row r="17" spans="1:18" ht="26.25" customHeight="1">
      <c r="A17" s="684"/>
      <c r="B17" s="676"/>
      <c r="C17" s="689"/>
      <c r="D17" s="689"/>
      <c r="E17" s="692"/>
      <c r="F17" s="689"/>
      <c r="G17" s="675" t="s">
        <v>1559</v>
      </c>
      <c r="H17" s="676" t="s">
        <v>117</v>
      </c>
      <c r="I17" s="676"/>
      <c r="J17" s="676" t="s">
        <v>169</v>
      </c>
      <c r="K17" s="676"/>
      <c r="L17" s="676"/>
      <c r="M17" s="680" t="s">
        <v>170</v>
      </c>
      <c r="N17" s="681"/>
      <c r="O17" s="682"/>
      <c r="P17" s="677"/>
      <c r="Q17" s="700"/>
      <c r="R17" s="678"/>
    </row>
    <row r="18" spans="1:18" ht="12.75">
      <c r="A18" s="684"/>
      <c r="B18" s="676"/>
      <c r="C18" s="689"/>
      <c r="D18" s="689"/>
      <c r="E18" s="692"/>
      <c r="F18" s="689"/>
      <c r="G18" s="673"/>
      <c r="H18" s="675" t="s">
        <v>1560</v>
      </c>
      <c r="I18" s="675" t="s">
        <v>1561</v>
      </c>
      <c r="J18" s="675" t="s">
        <v>1559</v>
      </c>
      <c r="K18" s="676" t="s">
        <v>1562</v>
      </c>
      <c r="L18" s="676"/>
      <c r="M18" s="675" t="s">
        <v>1559</v>
      </c>
      <c r="N18" s="676" t="s">
        <v>1562</v>
      </c>
      <c r="O18" s="676"/>
      <c r="P18" s="673" t="s">
        <v>1559</v>
      </c>
      <c r="Q18" s="677" t="s">
        <v>1562</v>
      </c>
      <c r="R18" s="678"/>
    </row>
    <row r="19" spans="1:18" ht="129" thickBot="1">
      <c r="A19" s="685"/>
      <c r="B19" s="687"/>
      <c r="C19" s="690"/>
      <c r="D19" s="690"/>
      <c r="E19" s="693"/>
      <c r="F19" s="690"/>
      <c r="G19" s="674"/>
      <c r="H19" s="674"/>
      <c r="I19" s="674"/>
      <c r="J19" s="674"/>
      <c r="K19" s="210" t="s">
        <v>1563</v>
      </c>
      <c r="L19" s="210" t="s">
        <v>1561</v>
      </c>
      <c r="M19" s="674"/>
      <c r="N19" s="210" t="s">
        <v>1564</v>
      </c>
      <c r="O19" s="210" t="s">
        <v>1565</v>
      </c>
      <c r="P19" s="674"/>
      <c r="Q19" s="210" t="s">
        <v>1566</v>
      </c>
      <c r="R19" s="211" t="s">
        <v>1565</v>
      </c>
    </row>
    <row r="20" spans="1:18" ht="12.75">
      <c r="A20" s="215">
        <v>1</v>
      </c>
      <c r="B20" s="216" t="s">
        <v>1569</v>
      </c>
      <c r="C20" s="216" t="s">
        <v>1569</v>
      </c>
      <c r="D20" s="217" t="s">
        <v>1569</v>
      </c>
      <c r="E20" s="215" t="s">
        <v>1569</v>
      </c>
      <c r="F20" s="218" t="s">
        <v>1569</v>
      </c>
      <c r="G20" s="219" t="s">
        <v>1569</v>
      </c>
      <c r="H20" s="217" t="s">
        <v>1569</v>
      </c>
      <c r="I20" s="217" t="s">
        <v>1569</v>
      </c>
      <c r="J20" s="219" t="s">
        <v>1569</v>
      </c>
      <c r="K20" s="217" t="s">
        <v>1569</v>
      </c>
      <c r="L20" s="217" t="s">
        <v>1569</v>
      </c>
      <c r="M20" s="219" t="s">
        <v>1569</v>
      </c>
      <c r="N20" s="217" t="s">
        <v>1569</v>
      </c>
      <c r="O20" s="217" t="s">
        <v>1569</v>
      </c>
      <c r="P20" s="219" t="s">
        <v>1569</v>
      </c>
      <c r="Q20" s="219" t="s">
        <v>1569</v>
      </c>
      <c r="R20" s="219" t="s">
        <v>1569</v>
      </c>
    </row>
    <row r="21" spans="1:18" ht="12.75">
      <c r="A21" s="220"/>
      <c r="B21" s="221" t="s">
        <v>1570</v>
      </c>
      <c r="C21" s="220"/>
      <c r="D21" s="222">
        <f>SUM(D20:D20)</f>
        <v>0</v>
      </c>
      <c r="E21" s="220"/>
      <c r="F21" s="220"/>
      <c r="G21" s="222">
        <f aca="true" t="shared" si="0" ref="G21:R21">SUM(G20:G20)</f>
        <v>0</v>
      </c>
      <c r="H21" s="222">
        <f t="shared" si="0"/>
        <v>0</v>
      </c>
      <c r="I21" s="222">
        <f t="shared" si="0"/>
        <v>0</v>
      </c>
      <c r="J21" s="222">
        <f t="shared" si="0"/>
        <v>0</v>
      </c>
      <c r="K21" s="222">
        <f t="shared" si="0"/>
        <v>0</v>
      </c>
      <c r="L21" s="222">
        <f t="shared" si="0"/>
        <v>0</v>
      </c>
      <c r="M21" s="222">
        <f t="shared" si="0"/>
        <v>0</v>
      </c>
      <c r="N21" s="222">
        <f t="shared" si="0"/>
        <v>0</v>
      </c>
      <c r="O21" s="222">
        <f t="shared" si="0"/>
        <v>0</v>
      </c>
      <c r="P21" s="222">
        <f t="shared" si="0"/>
        <v>0</v>
      </c>
      <c r="Q21" s="222">
        <f t="shared" si="0"/>
        <v>0</v>
      </c>
      <c r="R21" s="222">
        <f t="shared" si="0"/>
        <v>0</v>
      </c>
    </row>
    <row r="22" spans="1:18" ht="15">
      <c r="A22" s="679"/>
      <c r="B22" s="679"/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</row>
  </sheetData>
  <sheetProtection/>
  <mergeCells count="43">
    <mergeCell ref="A5:R5"/>
    <mergeCell ref="A6:R6"/>
    <mergeCell ref="A9:A12"/>
    <mergeCell ref="B9:B12"/>
    <mergeCell ref="C9:C12"/>
    <mergeCell ref="D9:D12"/>
    <mergeCell ref="E9:E12"/>
    <mergeCell ref="F9:F12"/>
    <mergeCell ref="G9:O9"/>
    <mergeCell ref="P9:R10"/>
    <mergeCell ref="H10:I10"/>
    <mergeCell ref="J10:L10"/>
    <mergeCell ref="M10:O10"/>
    <mergeCell ref="H11:H12"/>
    <mergeCell ref="I11:I12"/>
    <mergeCell ref="J11:J12"/>
    <mergeCell ref="K11:L11"/>
    <mergeCell ref="M11:M12"/>
    <mergeCell ref="N11:O11"/>
    <mergeCell ref="Q11:R11"/>
    <mergeCell ref="A16:A19"/>
    <mergeCell ref="B16:B19"/>
    <mergeCell ref="C16:C19"/>
    <mergeCell ref="D16:D19"/>
    <mergeCell ref="E16:E19"/>
    <mergeCell ref="F16:F19"/>
    <mergeCell ref="G16:O16"/>
    <mergeCell ref="P16:R17"/>
    <mergeCell ref="G10:G12"/>
    <mergeCell ref="Q18:R18"/>
    <mergeCell ref="A22:R22"/>
    <mergeCell ref="G17:G19"/>
    <mergeCell ref="H17:I17"/>
    <mergeCell ref="J17:L17"/>
    <mergeCell ref="M17:O17"/>
    <mergeCell ref="M18:M19"/>
    <mergeCell ref="N18:O18"/>
    <mergeCell ref="P11:P12"/>
    <mergeCell ref="P18:P19"/>
    <mergeCell ref="H18:H19"/>
    <mergeCell ref="I18:I19"/>
    <mergeCell ref="J18:J19"/>
    <mergeCell ref="K18:L18"/>
  </mergeCells>
  <printOptions/>
  <pageMargins left="0.7480314960629921" right="0.7480314960629921" top="0.6692913385826772" bottom="0.5118110236220472" header="0.5118110236220472" footer="0.5118110236220472"/>
  <pageSetup firstPageNumber="59" useFirstPageNumber="1" fitToHeight="0" fitToWidth="1" horizontalDpi="600" verticalDpi="600" orientation="landscape" paperSize="9" scale="90" r:id="rId1"/>
  <headerFooter alignWithMargins="0">
    <oddFooter>&amp;R&amp;P</oddFoot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B1" sqref="B1"/>
    </sheetView>
  </sheetViews>
  <sheetFormatPr defaultColWidth="8.625" defaultRowHeight="12.75"/>
  <cols>
    <col min="1" max="1" width="4.50390625" style="453" customWidth="1"/>
    <col min="2" max="2" width="28.00390625" style="453" customWidth="1"/>
    <col min="3" max="3" width="14.00390625" style="453" customWidth="1"/>
    <col min="4" max="4" width="11.50390625" style="453" customWidth="1"/>
    <col min="5" max="5" width="4.50390625" style="453" customWidth="1"/>
    <col min="6" max="6" width="8.50390625" style="453" customWidth="1"/>
    <col min="7" max="7" width="9.00390625" style="453" customWidth="1"/>
    <col min="8" max="8" width="9.50390625" style="453" customWidth="1"/>
    <col min="9" max="9" width="7.50390625" style="453" customWidth="1"/>
    <col min="10" max="10" width="8.50390625" style="453" customWidth="1"/>
    <col min="11" max="11" width="9.50390625" style="453" customWidth="1"/>
    <col min="12" max="12" width="7.50390625" style="453" customWidth="1"/>
    <col min="13" max="13" width="9.625" style="453" customWidth="1"/>
    <col min="14" max="14" width="8.50390625" style="453" customWidth="1"/>
    <col min="15" max="15" width="7.50390625" style="453" customWidth="1"/>
    <col min="16" max="16" width="9.375" style="453" customWidth="1"/>
    <col min="17" max="17" width="8.375" style="453" customWidth="1"/>
    <col min="18" max="18" width="8.50390625" style="453" customWidth="1"/>
    <col min="19" max="16384" width="8.625" style="453" customWidth="1"/>
  </cols>
  <sheetData>
    <row r="1" spans="1:18" ht="14.25" thickBot="1">
      <c r="A1" s="452" t="s">
        <v>172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2.75" customHeight="1">
      <c r="A2" s="683" t="s">
        <v>1700</v>
      </c>
      <c r="B2" s="686" t="s">
        <v>1553</v>
      </c>
      <c r="C2" s="688" t="s">
        <v>1554</v>
      </c>
      <c r="D2" s="702" t="s">
        <v>1555</v>
      </c>
      <c r="E2" s="691" t="s">
        <v>173</v>
      </c>
      <c r="F2" s="702" t="s">
        <v>1557</v>
      </c>
      <c r="G2" s="694" t="s">
        <v>1558</v>
      </c>
      <c r="H2" s="695"/>
      <c r="I2" s="695"/>
      <c r="J2" s="695"/>
      <c r="K2" s="695"/>
      <c r="L2" s="695"/>
      <c r="M2" s="695"/>
      <c r="N2" s="695"/>
      <c r="O2" s="696"/>
      <c r="P2" s="697" t="s">
        <v>171</v>
      </c>
      <c r="Q2" s="698"/>
      <c r="R2" s="699"/>
    </row>
    <row r="3" spans="1:18" ht="24.75" customHeight="1">
      <c r="A3" s="684"/>
      <c r="B3" s="676"/>
      <c r="C3" s="689"/>
      <c r="D3" s="673"/>
      <c r="E3" s="692"/>
      <c r="F3" s="673"/>
      <c r="G3" s="675" t="s">
        <v>1559</v>
      </c>
      <c r="H3" s="676" t="s">
        <v>117</v>
      </c>
      <c r="I3" s="676"/>
      <c r="J3" s="676" t="s">
        <v>169</v>
      </c>
      <c r="K3" s="676"/>
      <c r="L3" s="676"/>
      <c r="M3" s="680" t="s">
        <v>170</v>
      </c>
      <c r="N3" s="681"/>
      <c r="O3" s="682"/>
      <c r="P3" s="677"/>
      <c r="Q3" s="700"/>
      <c r="R3" s="678"/>
    </row>
    <row r="4" spans="1:18" ht="12.75" customHeight="1">
      <c r="A4" s="684"/>
      <c r="B4" s="676"/>
      <c r="C4" s="689"/>
      <c r="D4" s="673"/>
      <c r="E4" s="692"/>
      <c r="F4" s="673"/>
      <c r="G4" s="673"/>
      <c r="H4" s="675" t="s">
        <v>1560</v>
      </c>
      <c r="I4" s="675" t="s">
        <v>1561</v>
      </c>
      <c r="J4" s="675" t="s">
        <v>1559</v>
      </c>
      <c r="K4" s="676" t="s">
        <v>1562</v>
      </c>
      <c r="L4" s="676"/>
      <c r="M4" s="675" t="s">
        <v>1559</v>
      </c>
      <c r="N4" s="676" t="s">
        <v>1562</v>
      </c>
      <c r="O4" s="676"/>
      <c r="P4" s="673" t="s">
        <v>1559</v>
      </c>
      <c r="Q4" s="677" t="s">
        <v>1562</v>
      </c>
      <c r="R4" s="678"/>
    </row>
    <row r="5" spans="1:18" ht="129" thickBot="1">
      <c r="A5" s="685"/>
      <c r="B5" s="687"/>
      <c r="C5" s="690"/>
      <c r="D5" s="674"/>
      <c r="E5" s="693"/>
      <c r="F5" s="674"/>
      <c r="G5" s="674"/>
      <c r="H5" s="674"/>
      <c r="I5" s="674"/>
      <c r="J5" s="674"/>
      <c r="K5" s="210" t="s">
        <v>1563</v>
      </c>
      <c r="L5" s="210" t="s">
        <v>1561</v>
      </c>
      <c r="M5" s="674"/>
      <c r="N5" s="210" t="s">
        <v>1564</v>
      </c>
      <c r="O5" s="210" t="s">
        <v>1565</v>
      </c>
      <c r="P5" s="674"/>
      <c r="Q5" s="210" t="s">
        <v>1566</v>
      </c>
      <c r="R5" s="211" t="s">
        <v>1565</v>
      </c>
    </row>
    <row r="6" spans="1:18" ht="39">
      <c r="A6" s="215">
        <v>1</v>
      </c>
      <c r="B6" s="216" t="s">
        <v>174</v>
      </c>
      <c r="C6" s="455" t="s">
        <v>175</v>
      </c>
      <c r="D6" s="217">
        <v>50000</v>
      </c>
      <c r="E6" s="215">
        <v>16</v>
      </c>
      <c r="F6" s="465" t="s">
        <v>176</v>
      </c>
      <c r="G6" s="217">
        <f aca="true" t="shared" si="0" ref="G6:G14">SUM(H6+I6)</f>
        <v>14570.1</v>
      </c>
      <c r="H6" s="217">
        <v>14000</v>
      </c>
      <c r="I6" s="217">
        <v>570.1</v>
      </c>
      <c r="J6" s="217">
        <f aca="true" t="shared" si="1" ref="J6:J11">K6+L6</f>
        <v>14570</v>
      </c>
      <c r="K6" s="217">
        <v>14000</v>
      </c>
      <c r="L6" s="217">
        <v>570</v>
      </c>
      <c r="M6" s="217">
        <f aca="true" t="shared" si="2" ref="M6:M14">SUM(N6+O6)</f>
        <v>14570</v>
      </c>
      <c r="N6" s="217">
        <v>14000</v>
      </c>
      <c r="O6" s="217">
        <v>570</v>
      </c>
      <c r="P6" s="219">
        <f aca="true" t="shared" si="3" ref="P6:P14">SUM(Q6+R6)</f>
        <v>0.10000000000002274</v>
      </c>
      <c r="Q6" s="219">
        <f aca="true" t="shared" si="4" ref="Q6:R12">H6-N6</f>
        <v>0</v>
      </c>
      <c r="R6" s="219">
        <f t="shared" si="4"/>
        <v>0.10000000000002274</v>
      </c>
    </row>
    <row r="7" spans="1:18" ht="39">
      <c r="A7" s="215">
        <v>2</v>
      </c>
      <c r="B7" s="216" t="s">
        <v>174</v>
      </c>
      <c r="C7" s="455" t="s">
        <v>177</v>
      </c>
      <c r="D7" s="217">
        <v>40000</v>
      </c>
      <c r="E7" s="215">
        <v>16</v>
      </c>
      <c r="F7" s="465" t="s">
        <v>178</v>
      </c>
      <c r="G7" s="217">
        <f t="shared" si="0"/>
        <v>45987</v>
      </c>
      <c r="H7" s="217">
        <v>40000</v>
      </c>
      <c r="I7" s="217">
        <v>5987</v>
      </c>
      <c r="J7" s="217">
        <f t="shared" si="1"/>
        <v>45987</v>
      </c>
      <c r="K7" s="217">
        <v>40000</v>
      </c>
      <c r="L7" s="217">
        <v>5987</v>
      </c>
      <c r="M7" s="217">
        <f t="shared" si="2"/>
        <v>45987</v>
      </c>
      <c r="N7" s="217">
        <v>40000</v>
      </c>
      <c r="O7" s="217">
        <v>5987</v>
      </c>
      <c r="P7" s="219">
        <f t="shared" si="3"/>
        <v>0</v>
      </c>
      <c r="Q7" s="219">
        <f t="shared" si="4"/>
        <v>0</v>
      </c>
      <c r="R7" s="219">
        <f t="shared" si="4"/>
        <v>0</v>
      </c>
    </row>
    <row r="8" spans="1:18" ht="39">
      <c r="A8" s="215">
        <v>3</v>
      </c>
      <c r="B8" s="216" t="s">
        <v>179</v>
      </c>
      <c r="C8" s="455" t="s">
        <v>180</v>
      </c>
      <c r="D8" s="217">
        <v>58100</v>
      </c>
      <c r="E8" s="215">
        <v>16</v>
      </c>
      <c r="F8" s="465" t="s">
        <v>181</v>
      </c>
      <c r="G8" s="217">
        <f t="shared" si="0"/>
        <v>68590</v>
      </c>
      <c r="H8" s="217">
        <v>58100</v>
      </c>
      <c r="I8" s="217">
        <v>10490</v>
      </c>
      <c r="J8" s="217">
        <f t="shared" si="1"/>
        <v>9296</v>
      </c>
      <c r="K8" s="217">
        <v>0</v>
      </c>
      <c r="L8" s="217">
        <v>9296</v>
      </c>
      <c r="M8" s="217">
        <f t="shared" si="2"/>
        <v>9296</v>
      </c>
      <c r="N8" s="217">
        <v>0</v>
      </c>
      <c r="O8" s="217">
        <v>9296</v>
      </c>
      <c r="P8" s="219">
        <f t="shared" si="3"/>
        <v>59294</v>
      </c>
      <c r="Q8" s="219">
        <f t="shared" si="4"/>
        <v>58100</v>
      </c>
      <c r="R8" s="219">
        <f t="shared" si="4"/>
        <v>1194</v>
      </c>
    </row>
    <row r="9" spans="1:18" ht="39">
      <c r="A9" s="215">
        <v>4</v>
      </c>
      <c r="B9" s="216" t="s">
        <v>174</v>
      </c>
      <c r="C9" s="455" t="s">
        <v>182</v>
      </c>
      <c r="D9" s="217">
        <v>70000</v>
      </c>
      <c r="E9" s="215">
        <v>16</v>
      </c>
      <c r="F9" s="465" t="s">
        <v>183</v>
      </c>
      <c r="G9" s="217">
        <f t="shared" si="0"/>
        <v>83984</v>
      </c>
      <c r="H9" s="217">
        <v>70000</v>
      </c>
      <c r="I9" s="217">
        <v>13984</v>
      </c>
      <c r="J9" s="217">
        <f t="shared" si="1"/>
        <v>11200</v>
      </c>
      <c r="K9" s="217">
        <v>0</v>
      </c>
      <c r="L9" s="217">
        <v>11200</v>
      </c>
      <c r="M9" s="217">
        <f t="shared" si="2"/>
        <v>11200</v>
      </c>
      <c r="N9" s="217">
        <v>0</v>
      </c>
      <c r="O9" s="217">
        <v>11200</v>
      </c>
      <c r="P9" s="219">
        <f t="shared" si="3"/>
        <v>72784</v>
      </c>
      <c r="Q9" s="219">
        <f t="shared" si="4"/>
        <v>70000</v>
      </c>
      <c r="R9" s="219">
        <f t="shared" si="4"/>
        <v>2784</v>
      </c>
    </row>
    <row r="10" spans="1:18" ht="39">
      <c r="A10" s="215">
        <v>5</v>
      </c>
      <c r="B10" s="216" t="s">
        <v>179</v>
      </c>
      <c r="C10" s="455" t="s">
        <v>184</v>
      </c>
      <c r="D10" s="217">
        <v>20000</v>
      </c>
      <c r="E10" s="215">
        <v>16</v>
      </c>
      <c r="F10" s="465" t="s">
        <v>185</v>
      </c>
      <c r="G10" s="217">
        <f t="shared" si="0"/>
        <v>21178</v>
      </c>
      <c r="H10" s="217">
        <v>20000</v>
      </c>
      <c r="I10" s="217">
        <v>1178</v>
      </c>
      <c r="J10" s="217">
        <f t="shared" si="1"/>
        <v>21178</v>
      </c>
      <c r="K10" s="217">
        <v>20000</v>
      </c>
      <c r="L10" s="217">
        <v>1178</v>
      </c>
      <c r="M10" s="217">
        <f t="shared" si="2"/>
        <v>21178</v>
      </c>
      <c r="N10" s="217">
        <v>20000</v>
      </c>
      <c r="O10" s="217">
        <v>1178</v>
      </c>
      <c r="P10" s="219">
        <f t="shared" si="3"/>
        <v>0</v>
      </c>
      <c r="Q10" s="219">
        <f t="shared" si="4"/>
        <v>0</v>
      </c>
      <c r="R10" s="219">
        <f t="shared" si="4"/>
        <v>0</v>
      </c>
    </row>
    <row r="11" spans="1:18" ht="52.5">
      <c r="A11" s="215">
        <v>6</v>
      </c>
      <c r="B11" s="216" t="s">
        <v>186</v>
      </c>
      <c r="C11" s="455" t="s">
        <v>187</v>
      </c>
      <c r="D11" s="217">
        <v>15000</v>
      </c>
      <c r="E11" s="215">
        <v>16</v>
      </c>
      <c r="F11" s="465" t="s">
        <v>188</v>
      </c>
      <c r="G11" s="217">
        <f t="shared" si="0"/>
        <v>15481</v>
      </c>
      <c r="H11" s="217">
        <v>15000</v>
      </c>
      <c r="I11" s="217">
        <v>481</v>
      </c>
      <c r="J11" s="217">
        <f t="shared" si="1"/>
        <v>15481</v>
      </c>
      <c r="K11" s="217">
        <v>15000</v>
      </c>
      <c r="L11" s="217">
        <v>481</v>
      </c>
      <c r="M11" s="217">
        <f t="shared" si="2"/>
        <v>15481</v>
      </c>
      <c r="N11" s="217">
        <v>15000</v>
      </c>
      <c r="O11" s="217">
        <v>481</v>
      </c>
      <c r="P11" s="219">
        <f t="shared" si="3"/>
        <v>0</v>
      </c>
      <c r="Q11" s="219">
        <f t="shared" si="4"/>
        <v>0</v>
      </c>
      <c r="R11" s="219">
        <f t="shared" si="4"/>
        <v>0</v>
      </c>
    </row>
    <row r="12" spans="1:18" ht="39">
      <c r="A12" s="215">
        <v>7</v>
      </c>
      <c r="B12" s="216" t="s">
        <v>179</v>
      </c>
      <c r="C12" s="455" t="s">
        <v>189</v>
      </c>
      <c r="D12" s="217">
        <v>18500</v>
      </c>
      <c r="E12" s="215">
        <v>16</v>
      </c>
      <c r="F12" s="465" t="s">
        <v>190</v>
      </c>
      <c r="G12" s="217">
        <f t="shared" si="0"/>
        <v>24420</v>
      </c>
      <c r="H12" s="217">
        <v>18500</v>
      </c>
      <c r="I12" s="217">
        <v>5920</v>
      </c>
      <c r="J12" s="217">
        <f>K12+L12</f>
        <v>1500</v>
      </c>
      <c r="K12" s="217">
        <v>0</v>
      </c>
      <c r="L12" s="217">
        <v>1500</v>
      </c>
      <c r="M12" s="217">
        <f t="shared" si="2"/>
        <v>1500</v>
      </c>
      <c r="N12" s="217">
        <v>0</v>
      </c>
      <c r="O12" s="217">
        <v>1500</v>
      </c>
      <c r="P12" s="219">
        <f t="shared" si="3"/>
        <v>22920</v>
      </c>
      <c r="Q12" s="219">
        <f t="shared" si="4"/>
        <v>18500</v>
      </c>
      <c r="R12" s="219">
        <f t="shared" si="4"/>
        <v>4420</v>
      </c>
    </row>
    <row r="13" spans="1:18" ht="39">
      <c r="A13" s="215">
        <v>8</v>
      </c>
      <c r="B13" s="216" t="s">
        <v>174</v>
      </c>
      <c r="C13" s="455" t="s">
        <v>191</v>
      </c>
      <c r="D13" s="217">
        <v>30000</v>
      </c>
      <c r="E13" s="215">
        <v>16</v>
      </c>
      <c r="F13" s="465" t="s">
        <v>192</v>
      </c>
      <c r="G13" s="217">
        <f t="shared" si="0"/>
        <v>39574</v>
      </c>
      <c r="H13" s="217">
        <v>30000</v>
      </c>
      <c r="I13" s="217">
        <v>9574</v>
      </c>
      <c r="J13" s="217">
        <f>K13+L13</f>
        <v>1749</v>
      </c>
      <c r="K13" s="217">
        <v>0</v>
      </c>
      <c r="L13" s="217">
        <v>1749</v>
      </c>
      <c r="M13" s="217">
        <f t="shared" si="2"/>
        <v>1749</v>
      </c>
      <c r="N13" s="217">
        <v>0</v>
      </c>
      <c r="O13" s="217">
        <v>1749</v>
      </c>
      <c r="P13" s="219">
        <f t="shared" si="3"/>
        <v>37825</v>
      </c>
      <c r="Q13" s="219">
        <f>H13-N13</f>
        <v>30000</v>
      </c>
      <c r="R13" s="219">
        <f>I13-O13</f>
        <v>7825</v>
      </c>
    </row>
    <row r="14" spans="1:18" ht="39">
      <c r="A14" s="215">
        <v>9</v>
      </c>
      <c r="B14" s="216" t="s">
        <v>174</v>
      </c>
      <c r="C14" s="455" t="s">
        <v>193</v>
      </c>
      <c r="D14" s="217">
        <v>40000</v>
      </c>
      <c r="E14" s="215">
        <v>16</v>
      </c>
      <c r="F14" s="465" t="s">
        <v>194</v>
      </c>
      <c r="G14" s="217">
        <f t="shared" si="0"/>
        <v>52800</v>
      </c>
      <c r="H14" s="217">
        <v>40000</v>
      </c>
      <c r="I14" s="217">
        <v>12800</v>
      </c>
      <c r="J14" s="217">
        <f>K14+L14</f>
        <v>175</v>
      </c>
      <c r="K14" s="217">
        <v>0</v>
      </c>
      <c r="L14" s="217">
        <v>175</v>
      </c>
      <c r="M14" s="217">
        <f t="shared" si="2"/>
        <v>175</v>
      </c>
      <c r="N14" s="217">
        <v>0</v>
      </c>
      <c r="O14" s="217">
        <v>175</v>
      </c>
      <c r="P14" s="219">
        <f t="shared" si="3"/>
        <v>52625</v>
      </c>
      <c r="Q14" s="219">
        <f>H14-N14</f>
        <v>40000</v>
      </c>
      <c r="R14" s="219">
        <f>I14-O14</f>
        <v>12625</v>
      </c>
    </row>
    <row r="15" spans="1:18" ht="12.75">
      <c r="A15" s="454"/>
      <c r="B15" s="454"/>
      <c r="C15" s="455"/>
      <c r="D15" s="456">
        <f>SUM(D6:D14)</f>
        <v>341600</v>
      </c>
      <c r="E15" s="456"/>
      <c r="F15" s="456"/>
      <c r="G15" s="456">
        <f aca="true" t="shared" si="5" ref="G15:P15">SUM(G6:G14)</f>
        <v>366584.1</v>
      </c>
      <c r="H15" s="456">
        <f t="shared" si="5"/>
        <v>305600</v>
      </c>
      <c r="I15" s="456">
        <f t="shared" si="5"/>
        <v>60984.1</v>
      </c>
      <c r="J15" s="456">
        <f t="shared" si="5"/>
        <v>121136</v>
      </c>
      <c r="K15" s="456">
        <f t="shared" si="5"/>
        <v>89000</v>
      </c>
      <c r="L15" s="456">
        <f t="shared" si="5"/>
        <v>32136</v>
      </c>
      <c r="M15" s="456">
        <f t="shared" si="5"/>
        <v>121136</v>
      </c>
      <c r="N15" s="456">
        <f t="shared" si="5"/>
        <v>89000</v>
      </c>
      <c r="O15" s="456">
        <f t="shared" si="5"/>
        <v>32136</v>
      </c>
      <c r="P15" s="456">
        <f t="shared" si="5"/>
        <v>245448.1</v>
      </c>
      <c r="Q15" s="456">
        <f>SUM(Q7:Q14)</f>
        <v>216600</v>
      </c>
      <c r="R15" s="456">
        <f>SUM(R6:R14)</f>
        <v>28848.1</v>
      </c>
    </row>
    <row r="16" spans="1:18" s="463" customFormat="1" ht="12.75">
      <c r="A16" s="457"/>
      <c r="B16" s="458"/>
      <c r="C16" s="459"/>
      <c r="D16" s="460"/>
      <c r="E16" s="457"/>
      <c r="F16" s="461"/>
      <c r="G16" s="460"/>
      <c r="H16" s="460"/>
      <c r="I16" s="460"/>
      <c r="J16" s="460"/>
      <c r="K16" s="460"/>
      <c r="L16" s="460"/>
      <c r="M16" s="460"/>
      <c r="N16" s="460"/>
      <c r="O16" s="460"/>
      <c r="P16" s="462"/>
      <c r="Q16" s="462"/>
      <c r="R16" s="462"/>
    </row>
    <row r="17" spans="1:18" s="463" customFormat="1" ht="12.75">
      <c r="A17" s="457"/>
      <c r="B17" s="458"/>
      <c r="C17" s="459"/>
      <c r="D17" s="460"/>
      <c r="E17" s="457"/>
      <c r="F17" s="461"/>
      <c r="G17" s="460"/>
      <c r="H17" s="460"/>
      <c r="I17" s="460"/>
      <c r="J17" s="460"/>
      <c r="K17" s="460"/>
      <c r="L17" s="460"/>
      <c r="M17" s="460"/>
      <c r="N17" s="460"/>
      <c r="O17" s="460"/>
      <c r="P17" s="462"/>
      <c r="Q17" s="462"/>
      <c r="R17" s="462"/>
    </row>
    <row r="18" spans="1:18" s="463" customFormat="1" ht="12.75">
      <c r="A18" s="457"/>
      <c r="B18" s="458"/>
      <c r="C18" s="459"/>
      <c r="D18" s="460"/>
      <c r="E18" s="457"/>
      <c r="F18" s="461"/>
      <c r="G18" s="460"/>
      <c r="H18" s="460"/>
      <c r="I18" s="460"/>
      <c r="J18" s="460"/>
      <c r="K18" s="460"/>
      <c r="L18" s="460"/>
      <c r="M18" s="460"/>
      <c r="N18" s="460"/>
      <c r="O18" s="460"/>
      <c r="P18" s="462"/>
      <c r="Q18" s="462"/>
      <c r="R18" s="462"/>
    </row>
    <row r="19" spans="1:18" s="463" customFormat="1" ht="12.75">
      <c r="A19" s="457"/>
      <c r="B19" s="458"/>
      <c r="C19" s="459"/>
      <c r="D19" s="460"/>
      <c r="E19" s="457"/>
      <c r="F19" s="461"/>
      <c r="G19" s="460"/>
      <c r="H19" s="460"/>
      <c r="I19" s="460"/>
      <c r="J19" s="460"/>
      <c r="K19" s="460"/>
      <c r="L19" s="460"/>
      <c r="M19" s="460"/>
      <c r="N19" s="460"/>
      <c r="O19" s="460"/>
      <c r="P19" s="462"/>
      <c r="Q19" s="462"/>
      <c r="R19" s="462"/>
    </row>
    <row r="20" spans="1:18" s="463" customFormat="1" ht="12.75">
      <c r="A20" s="457"/>
      <c r="B20" s="458"/>
      <c r="C20" s="459"/>
      <c r="D20" s="460"/>
      <c r="E20" s="457"/>
      <c r="F20" s="461"/>
      <c r="G20" s="460"/>
      <c r="H20" s="460"/>
      <c r="I20" s="460"/>
      <c r="J20" s="460"/>
      <c r="K20" s="460"/>
      <c r="L20" s="460"/>
      <c r="M20" s="460"/>
      <c r="N20" s="460"/>
      <c r="O20" s="460"/>
      <c r="P20" s="462"/>
      <c r="Q20" s="462"/>
      <c r="R20" s="462"/>
    </row>
    <row r="21" spans="1:18" s="463" customFormat="1" ht="12.75">
      <c r="A21" s="457"/>
      <c r="B21" s="458"/>
      <c r="C21" s="459"/>
      <c r="D21" s="460"/>
      <c r="E21" s="457"/>
      <c r="F21" s="461"/>
      <c r="G21" s="460"/>
      <c r="H21" s="460"/>
      <c r="I21" s="460"/>
      <c r="J21" s="460"/>
      <c r="K21" s="460"/>
      <c r="L21" s="460"/>
      <c r="M21" s="460"/>
      <c r="N21" s="460"/>
      <c r="O21" s="460"/>
      <c r="P21" s="462"/>
      <c r="Q21" s="462"/>
      <c r="R21" s="462"/>
    </row>
    <row r="22" spans="1:18" s="463" customFormat="1" ht="12.75">
      <c r="A22" s="457"/>
      <c r="B22" s="458"/>
      <c r="C22" s="459"/>
      <c r="D22" s="460"/>
      <c r="E22" s="457"/>
      <c r="F22" s="461"/>
      <c r="G22" s="460"/>
      <c r="H22" s="460"/>
      <c r="I22" s="460"/>
      <c r="J22" s="460"/>
      <c r="K22" s="460"/>
      <c r="L22" s="460"/>
      <c r="M22" s="460"/>
      <c r="N22" s="460"/>
      <c r="O22" s="460"/>
      <c r="P22" s="462"/>
      <c r="Q22" s="462"/>
      <c r="R22" s="462"/>
    </row>
    <row r="23" spans="1:18" s="463" customFormat="1" ht="12.75">
      <c r="A23" s="457"/>
      <c r="B23" s="458"/>
      <c r="C23" s="459"/>
      <c r="D23" s="460"/>
      <c r="E23" s="457"/>
      <c r="F23" s="461"/>
      <c r="G23" s="460"/>
      <c r="H23" s="460"/>
      <c r="I23" s="460"/>
      <c r="J23" s="460"/>
      <c r="K23" s="460"/>
      <c r="L23" s="460"/>
      <c r="M23" s="460"/>
      <c r="N23" s="460"/>
      <c r="O23" s="460"/>
      <c r="P23" s="462"/>
      <c r="Q23" s="462"/>
      <c r="R23" s="462"/>
    </row>
    <row r="24" spans="1:18" s="463" customFormat="1" ht="12.75">
      <c r="A24" s="457"/>
      <c r="B24" s="458"/>
      <c r="C24" s="459"/>
      <c r="D24" s="460"/>
      <c r="E24" s="457"/>
      <c r="F24" s="461"/>
      <c r="G24" s="460"/>
      <c r="H24" s="460"/>
      <c r="I24" s="460"/>
      <c r="J24" s="460"/>
      <c r="K24" s="460"/>
      <c r="L24" s="460"/>
      <c r="M24" s="460"/>
      <c r="N24" s="460"/>
      <c r="O24" s="460"/>
      <c r="P24" s="462"/>
      <c r="Q24" s="462"/>
      <c r="R24" s="462"/>
    </row>
    <row r="25" spans="1:18" s="463" customFormat="1" ht="12.75">
      <c r="A25" s="457"/>
      <c r="B25" s="458"/>
      <c r="C25" s="459"/>
      <c r="D25" s="460"/>
      <c r="E25" s="457"/>
      <c r="F25" s="461"/>
      <c r="G25" s="460"/>
      <c r="H25" s="460"/>
      <c r="I25" s="460"/>
      <c r="J25" s="460"/>
      <c r="K25" s="460"/>
      <c r="L25" s="460"/>
      <c r="M25" s="460"/>
      <c r="N25" s="460"/>
      <c r="O25" s="460"/>
      <c r="P25" s="462"/>
      <c r="Q25" s="462"/>
      <c r="R25" s="462"/>
    </row>
    <row r="26" spans="1:18" s="463" customFormat="1" ht="12.75">
      <c r="A26" s="457"/>
      <c r="B26" s="458"/>
      <c r="C26" s="459"/>
      <c r="D26" s="460"/>
      <c r="E26" s="457"/>
      <c r="F26" s="461"/>
      <c r="G26" s="460"/>
      <c r="H26" s="460"/>
      <c r="I26" s="460"/>
      <c r="J26" s="460"/>
      <c r="K26" s="460"/>
      <c r="L26" s="460"/>
      <c r="M26" s="460"/>
      <c r="N26" s="460"/>
      <c r="O26" s="460"/>
      <c r="P26" s="462"/>
      <c r="Q26" s="462"/>
      <c r="R26" s="462"/>
    </row>
    <row r="27" spans="1:18" s="463" customFormat="1" ht="12.75">
      <c r="A27" s="457"/>
      <c r="B27" s="458"/>
      <c r="C27" s="459"/>
      <c r="D27" s="460"/>
      <c r="E27" s="457"/>
      <c r="F27" s="461"/>
      <c r="G27" s="460"/>
      <c r="H27" s="460"/>
      <c r="I27" s="460"/>
      <c r="J27" s="460"/>
      <c r="K27" s="460"/>
      <c r="L27" s="460"/>
      <c r="M27" s="460"/>
      <c r="N27" s="460"/>
      <c r="O27" s="460"/>
      <c r="P27" s="462"/>
      <c r="Q27" s="462"/>
      <c r="R27" s="462"/>
    </row>
    <row r="28" spans="1:18" s="463" customFormat="1" ht="12.75">
      <c r="A28" s="457"/>
      <c r="B28" s="458"/>
      <c r="C28" s="459"/>
      <c r="D28" s="460"/>
      <c r="E28" s="457"/>
      <c r="F28" s="461"/>
      <c r="G28" s="460"/>
      <c r="H28" s="460"/>
      <c r="I28" s="460"/>
      <c r="J28" s="460"/>
      <c r="K28" s="460"/>
      <c r="L28" s="460"/>
      <c r="M28" s="460"/>
      <c r="N28" s="460"/>
      <c r="O28" s="460"/>
      <c r="P28" s="462"/>
      <c r="Q28" s="462"/>
      <c r="R28" s="462"/>
    </row>
    <row r="29" spans="3:18" s="463" customFormat="1" ht="12.75">
      <c r="C29" s="459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</row>
    <row r="30" s="463" customFormat="1" ht="12.75"/>
  </sheetData>
  <sheetProtection/>
  <mergeCells count="20">
    <mergeCell ref="P4:P5"/>
    <mergeCell ref="Q4:R4"/>
    <mergeCell ref="G2:O2"/>
    <mergeCell ref="P2:R3"/>
    <mergeCell ref="G3:G5"/>
    <mergeCell ref="H3:I3"/>
    <mergeCell ref="J3:L3"/>
    <mergeCell ref="M3:O3"/>
    <mergeCell ref="J4:J5"/>
    <mergeCell ref="K4:L4"/>
    <mergeCell ref="E2:E5"/>
    <mergeCell ref="F2:F5"/>
    <mergeCell ref="M4:M5"/>
    <mergeCell ref="N4:O4"/>
    <mergeCell ref="A2:A5"/>
    <mergeCell ref="B2:B5"/>
    <mergeCell ref="C2:C5"/>
    <mergeCell ref="D2:D5"/>
    <mergeCell ref="H4:H5"/>
    <mergeCell ref="I4:I5"/>
  </mergeCells>
  <printOptions/>
  <pageMargins left="0.75" right="0.75" top="1" bottom="1" header="0.5" footer="0.5"/>
  <pageSetup firstPageNumber="60" useFirstPageNumber="1" fitToHeight="0" fitToWidth="1" horizontalDpi="600" verticalDpi="600" orientation="landscape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Коняева Л.А.</cp:lastModifiedBy>
  <cp:lastPrinted>2016-03-30T13:08:49Z</cp:lastPrinted>
  <dcterms:created xsi:type="dcterms:W3CDTF">2002-07-15T12:30:47Z</dcterms:created>
  <dcterms:modified xsi:type="dcterms:W3CDTF">2016-06-14T08:57:27Z</dcterms:modified>
  <cp:category/>
  <cp:version/>
  <cp:contentType/>
  <cp:contentStatus/>
</cp:coreProperties>
</file>